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40" yWindow="6855" windowWidth="24525" windowHeight="7545" tabRatio="964" activeTab="13"/>
  </bookViews>
  <sheets>
    <sheet name="Forsíða" sheetId="41" r:id="rId1"/>
    <sheet name="Efnisyfirlit" sheetId="39" r:id="rId2"/>
    <sheet name="Fyrirvari" sheetId="36" r:id="rId3"/>
    <sheet name="Fjárfestatengsl" sheetId="40" r:id="rId4"/>
    <sheet name="Landsbankinn í hnotskurn" sheetId="57" r:id="rId5"/>
    <sheet name="Rekstur - ár" sheetId="23" r:id="rId6"/>
    <sheet name="Rekstur - ársf" sheetId="33" r:id="rId7"/>
    <sheet name="Efnahagur - ár" sheetId="24" r:id="rId8"/>
    <sheet name="Efnahagur - ársfj" sheetId="34" r:id="rId9"/>
    <sheet name="Kennitölur - ár" sheetId="22" r:id="rId10"/>
    <sheet name="Kennitölur - ársfj" sheetId="35" r:id="rId11"/>
    <sheet name="Starfsþættir" sheetId="25" r:id="rId12"/>
    <sheet name="Lykiltölur og hlutföll" sheetId="46" r:id="rId13"/>
    <sheet name="Sheet1" sheetId="53" r:id="rId14"/>
  </sheets>
  <externalReferences>
    <externalReference r:id="rId15"/>
  </externalReferences>
  <definedNames>
    <definedName name="_AMO_UniqueIdentifier" localSheetId="4" hidden="1">"'5f6d4ffb-f196-4280-b481-5dfc6b4406a2'"</definedName>
    <definedName name="_AMO_UniqueIdentifier" hidden="1">"'05c6c705-77f1-4b9b-b9f0-8c639b33b7ee'"</definedName>
    <definedName name="_xlnm.Print_Area" localSheetId="7">'Efnahagur - ár'!$A$1:$I$22</definedName>
    <definedName name="_xlnm.Print_Area" localSheetId="8">'Efnahagur - ársfj'!$A$1:$N$22</definedName>
    <definedName name="_xlnm.Print_Area" localSheetId="1">Efnisyfirlit!$A$1:$L$26</definedName>
    <definedName name="_xlnm.Print_Area" localSheetId="3">Fjárfestatengsl!$A$1:$L$19</definedName>
    <definedName name="_xlnm.Print_Area" localSheetId="0">Forsíða!$A$1:$O$36</definedName>
    <definedName name="_xlnm.Print_Area" localSheetId="2">Fyrirvari!$A$1:$L$16</definedName>
    <definedName name="_xlnm.Print_Area" localSheetId="9">'Kennitölur - ár'!$A$1:$I$26</definedName>
    <definedName name="_xlnm.Print_Area" localSheetId="10">'Kennitölur - ársfj'!$A$1:$N$27</definedName>
    <definedName name="_xlnm.Print_Area" localSheetId="12">'Lykiltölur og hlutföll'!$A$1:$H$42</definedName>
    <definedName name="_xlnm.Print_Area" localSheetId="5">'Rekstur - ár'!$A$1:$I$27</definedName>
    <definedName name="_xlnm.Print_Area" localSheetId="6">'Rekstur - ársf'!$A$1:$N$28</definedName>
    <definedName name="_xlnm.Print_Area" localSheetId="11">Starfsþættir!$A$1:$H$18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3" i="57" l="1"/>
  <c r="K23" i="57"/>
  <c r="L22" i="57"/>
  <c r="K22" i="57"/>
  <c r="L14" i="57"/>
  <c r="K14" i="57"/>
  <c r="L13" i="57"/>
  <c r="K13" i="57"/>
  <c r="L12" i="57"/>
  <c r="K12" i="57"/>
  <c r="L11" i="57"/>
  <c r="K11" i="57"/>
  <c r="L10" i="57"/>
  <c r="K10" i="57"/>
  <c r="L9" i="57"/>
  <c r="K9" i="57"/>
  <c r="L8" i="57"/>
  <c r="K8" i="57"/>
  <c r="L7" i="57"/>
  <c r="K7" i="57"/>
  <c r="L6" i="57"/>
  <c r="K6" i="57"/>
  <c r="B15" i="34"/>
  <c r="B8" i="34"/>
  <c r="B21" i="33"/>
  <c r="B9" i="33"/>
  <c r="C19" i="34" l="1"/>
  <c r="C10" i="34"/>
  <c r="B19" i="24"/>
  <c r="B10" i="24"/>
  <c r="C21" i="33"/>
  <c r="C16" i="33"/>
  <c r="C5" i="33"/>
  <c r="B21" i="23"/>
  <c r="B16" i="23"/>
  <c r="B9" i="23"/>
  <c r="B5" i="23"/>
  <c r="B10" i="23" l="1"/>
  <c r="B19" i="23" s="1"/>
  <c r="B22" i="23" s="1"/>
  <c r="B25" i="23" s="1"/>
  <c r="D21" i="33"/>
  <c r="D9" i="33"/>
  <c r="D19" i="34" l="1"/>
  <c r="D10" i="34"/>
  <c r="D16" i="33"/>
  <c r="D19" i="33" s="1"/>
  <c r="D22" i="33" s="1"/>
  <c r="D25" i="33" s="1"/>
  <c r="D5" i="33"/>
  <c r="E21" i="33" l="1"/>
  <c r="E9" i="33"/>
  <c r="E5" i="33"/>
  <c r="E19" i="34" l="1"/>
  <c r="E10" i="34"/>
  <c r="E22" i="33"/>
  <c r="E25" i="33" s="1"/>
  <c r="E16" i="33"/>
  <c r="F21" i="33" l="1"/>
  <c r="F9" i="33"/>
  <c r="C9" i="33" s="1"/>
  <c r="C10" i="33" s="1"/>
  <c r="C19" i="33" s="1"/>
  <c r="C22" i="33" s="1"/>
  <c r="C25" i="33" s="1"/>
  <c r="F19" i="34" l="1"/>
  <c r="F10" i="34"/>
  <c r="F22" i="33"/>
  <c r="F25" i="33" s="1"/>
  <c r="F16" i="33"/>
  <c r="F5" i="33"/>
  <c r="H15" i="25" l="1"/>
  <c r="H16" i="25"/>
  <c r="H14" i="25"/>
  <c r="H8" i="25"/>
  <c r="H6" i="25"/>
  <c r="H5" i="25"/>
  <c r="H4" i="25"/>
  <c r="H3" i="25"/>
  <c r="G19" i="34"/>
  <c r="G10" i="34"/>
  <c r="C19" i="24"/>
  <c r="C10" i="24"/>
  <c r="G21" i="33"/>
  <c r="G22" i="33" s="1"/>
  <c r="G25" i="33" s="1"/>
  <c r="G16" i="33"/>
  <c r="G5" i="33"/>
  <c r="H7" i="25" l="1"/>
  <c r="H10" i="25" s="1"/>
  <c r="C21" i="23"/>
  <c r="C16" i="23"/>
  <c r="C9" i="23"/>
  <c r="C5" i="23"/>
  <c r="C10" i="23" l="1"/>
  <c r="C19" i="23" s="1"/>
  <c r="C22" i="23" s="1"/>
  <c r="C25" i="23" s="1"/>
  <c r="C7" i="25"/>
  <c r="C10" i="25" s="1"/>
  <c r="C12" i="25" s="1"/>
  <c r="D7" i="25"/>
  <c r="D10" i="25" s="1"/>
  <c r="D12" i="25" s="1"/>
  <c r="E7" i="25"/>
  <c r="E10" i="25" s="1"/>
  <c r="E12" i="25" s="1"/>
  <c r="F7" i="25"/>
  <c r="F10" i="25" s="1"/>
  <c r="F12" i="25" s="1"/>
  <c r="G7" i="25"/>
  <c r="G10" i="25" s="1"/>
  <c r="G12" i="25" s="1"/>
  <c r="H12" i="25"/>
  <c r="B7" i="25"/>
  <c r="B10" i="25" l="1"/>
  <c r="B12" i="25" s="1"/>
  <c r="H15" i="34"/>
  <c r="H8" i="34"/>
  <c r="H21" i="33"/>
  <c r="H9" i="33"/>
  <c r="H25" i="34" l="1"/>
  <c r="H26" i="34"/>
  <c r="X24" i="34" l="1"/>
  <c r="I15" i="34" l="1"/>
  <c r="I8" i="34"/>
  <c r="I21" i="33"/>
  <c r="I9" i="33"/>
  <c r="I25" i="34" l="1"/>
  <c r="I26" i="34"/>
  <c r="L10" i="23" l="1"/>
  <c r="L9" i="23"/>
  <c r="K10" i="23"/>
  <c r="K9" i="23"/>
  <c r="J10" i="23"/>
  <c r="J9" i="23"/>
  <c r="I10" i="23"/>
  <c r="I9" i="23"/>
  <c r="H10" i="23"/>
  <c r="H9" i="23"/>
  <c r="G10" i="23"/>
  <c r="G9" i="23"/>
  <c r="F10" i="23"/>
  <c r="F9" i="23"/>
  <c r="E10" i="23"/>
  <c r="E9" i="23"/>
  <c r="D10" i="23"/>
  <c r="D9" i="23"/>
  <c r="J15" i="34"/>
  <c r="J26" i="34" s="1"/>
  <c r="J8" i="34"/>
  <c r="J25" i="34" s="1"/>
  <c r="L13" i="23"/>
  <c r="K13" i="23"/>
  <c r="J13" i="23"/>
  <c r="I13" i="23"/>
  <c r="H13" i="23"/>
  <c r="G13" i="23"/>
  <c r="F13" i="23"/>
  <c r="E13" i="23"/>
  <c r="D13" i="23"/>
  <c r="J21" i="33"/>
  <c r="V13" i="33"/>
  <c r="U13" i="33"/>
  <c r="T13" i="33"/>
  <c r="S13" i="33"/>
  <c r="R13" i="33"/>
  <c r="Q13" i="33"/>
  <c r="P13" i="33"/>
  <c r="O13" i="33"/>
  <c r="N13" i="33"/>
  <c r="M13" i="33"/>
  <c r="L13" i="33"/>
  <c r="K13" i="33"/>
  <c r="V10" i="33"/>
  <c r="U10" i="33"/>
  <c r="S10" i="33"/>
  <c r="R10" i="33"/>
  <c r="Q10" i="33"/>
  <c r="P10" i="33"/>
  <c r="O10" i="33"/>
  <c r="N10" i="33"/>
  <c r="M10" i="33"/>
  <c r="L10" i="33"/>
  <c r="K10" i="33"/>
  <c r="V9" i="33"/>
  <c r="U9" i="33"/>
  <c r="S9" i="33"/>
  <c r="R9" i="33"/>
  <c r="Q9" i="33"/>
  <c r="P9" i="33"/>
  <c r="O9" i="33"/>
  <c r="N9" i="33"/>
  <c r="M9" i="33"/>
  <c r="L9" i="33"/>
  <c r="K9" i="33"/>
  <c r="J9" i="33"/>
</calcChain>
</file>

<file path=xl/sharedStrings.xml><?xml version="1.0" encoding="utf-8"?>
<sst xmlns="http://schemas.openxmlformats.org/spreadsheetml/2006/main" count="416" uniqueCount="217">
  <si>
    <t>134% </t>
  </si>
  <si>
    <t>102% </t>
  </si>
  <si>
    <t>208% </t>
  </si>
  <si>
    <t xml:space="preserve"> </t>
  </si>
  <si>
    <t xml:space="preserve">  </t>
  </si>
  <si>
    <t>Landsbankinn hf.</t>
  </si>
  <si>
    <t>ir@landsbankinn.is</t>
  </si>
  <si>
    <t>Hanna Kristín Thoroddsen</t>
  </si>
  <si>
    <t>7.10 - 31.12.
2008</t>
  </si>
  <si>
    <t>Aftur í efnisyfirlit</t>
  </si>
  <si>
    <t>Efnisyfirlit</t>
  </si>
  <si>
    <t>Fjárhæðir í milljónum</t>
  </si>
  <si>
    <t>Hreinar vaxtatekjur</t>
  </si>
  <si>
    <t>Hreinar vaxtatekjur eftir virðisbreytingu</t>
  </si>
  <si>
    <t>Hreinar þjónustutekjur</t>
  </si>
  <si>
    <t>Afkoma fyrir rekstrarkostnað</t>
  </si>
  <si>
    <t>Laun og tengd gjöld</t>
  </si>
  <si>
    <t>Önnur rekstrargjöld</t>
  </si>
  <si>
    <t>Afskriftir rekstrarfjármuna</t>
  </si>
  <si>
    <t>Tryggingasjóður innstæðueigenda</t>
  </si>
  <si>
    <t>Rekstrarkostnaður</t>
  </si>
  <si>
    <t>Hlutdeild í afkomu hlutdeildarfélaga</t>
  </si>
  <si>
    <t>Hagnaður fyrir skatta</t>
  </si>
  <si>
    <t>Tekju- og bankaskattur</t>
  </si>
  <si>
    <t>Hagnaður af aflagðri starfsemi, að frádregnum skatti</t>
  </si>
  <si>
    <t>F3 2016</t>
  </si>
  <si>
    <t>F2 2016</t>
  </si>
  <si>
    <t>F1 2016</t>
  </si>
  <si>
    <t>F4 2015</t>
  </si>
  <si>
    <t>F3 2015</t>
  </si>
  <si>
    <t>F2 2015</t>
  </si>
  <si>
    <t>F1 2015</t>
  </si>
  <si>
    <t>F4 2014</t>
  </si>
  <si>
    <t>F3 2014</t>
  </si>
  <si>
    <t>F2 2014</t>
  </si>
  <si>
    <t>F1 2014</t>
  </si>
  <si>
    <t>F4 2013</t>
  </si>
  <si>
    <t>F3 2013</t>
  </si>
  <si>
    <t>F2 2013</t>
  </si>
  <si>
    <t>F1 2013</t>
  </si>
  <si>
    <t>F4 2012</t>
  </si>
  <si>
    <t>F3 2012</t>
  </si>
  <si>
    <t>F2 2012</t>
  </si>
  <si>
    <t>F1 2012</t>
  </si>
  <si>
    <t>F4 2011</t>
  </si>
  <si>
    <t>F3 2011</t>
  </si>
  <si>
    <t>F2 2011</t>
  </si>
  <si>
    <t>F1 2011</t>
  </si>
  <si>
    <t xml:space="preserve">Efnahagur </t>
  </si>
  <si>
    <t>Sjóður og innistæður í Seðlabanka</t>
  </si>
  <si>
    <t>Markaðsskuldabréf</t>
  </si>
  <si>
    <t>Hlutabréf</t>
  </si>
  <si>
    <t>Kröfur á lánastofnanir</t>
  </si>
  <si>
    <t>Útlán til viðskiptavina</t>
  </si>
  <si>
    <t>Aðrar eignir</t>
  </si>
  <si>
    <t>Eignir til sölu</t>
  </si>
  <si>
    <t>Samtals</t>
  </si>
  <si>
    <t>Innlán frá fjármálafyrirtækjum</t>
  </si>
  <si>
    <t>Innlán frá viðskiptavinum</t>
  </si>
  <si>
    <t>Lántaka</t>
  </si>
  <si>
    <t>Víkjandi lán</t>
  </si>
  <si>
    <t>Aðrar skuldir</t>
  </si>
  <si>
    <t>Skuldir tengdar eignum til sölu</t>
  </si>
  <si>
    <t>Eigið fé</t>
  </si>
  <si>
    <t>Kennitölur</t>
  </si>
  <si>
    <t>Hagnaður eftir skatta</t>
  </si>
  <si>
    <t>Arðsemi eigin fjár fyrir skatta</t>
  </si>
  <si>
    <t>Arðsemi eigin fjár eftir skatta</t>
  </si>
  <si>
    <t>Fjármögnunarþekja erlendra mynta</t>
  </si>
  <si>
    <t>Lausafjárþekja erlendra mynta</t>
  </si>
  <si>
    <t>Heildareignir</t>
  </si>
  <si>
    <t>Útlán í hlutfalli við innlán viðskiptavina</t>
  </si>
  <si>
    <t>Stöðugildi</t>
  </si>
  <si>
    <t>Hagnaður á hlut</t>
  </si>
  <si>
    <t>Arður á hlut</t>
  </si>
  <si>
    <t>Hreinar rekstrartekjur</t>
  </si>
  <si>
    <t>Afkoma fyrir sameiginlegan kostnað og skatta</t>
  </si>
  <si>
    <t>Útskiptur kostnaður frá stoðsviðum til tekjusviða</t>
  </si>
  <si>
    <t>Heildarskuldir</t>
  </si>
  <si>
    <t>Úthlutað eigið fé</t>
  </si>
  <si>
    <t>Fyrirtækjasvið</t>
  </si>
  <si>
    <t>Markaðir</t>
  </si>
  <si>
    <t>Fjárstýring</t>
  </si>
  <si>
    <t>Stoðsvið</t>
  </si>
  <si>
    <t>Starfsþættir</t>
  </si>
  <si>
    <t>Fjárhagsbók - Landsbankinn</t>
  </si>
  <si>
    <t>Kt. 471008-0280</t>
  </si>
  <si>
    <t>410 4000</t>
  </si>
  <si>
    <t>landsbankinn.is</t>
  </si>
  <si>
    <t>Fjárfestatengsl</t>
  </si>
  <si>
    <t>Fyrirvari</t>
  </si>
  <si>
    <t>Rekstur</t>
  </si>
  <si>
    <t>Fjárfestatengsl Landsbankans efla gagnsæi og opin samskipti með miðlun vandaðra og tímanlegra upplýsinga um bankann til allra hagsmunaaðila og annarra sem áhuga hafa.</t>
  </si>
  <si>
    <t>Fjárhagsdagatal</t>
  </si>
  <si>
    <t>Hafðu samband</t>
  </si>
  <si>
    <t>Nánari upplýsingar um fjárfestatengsl Landsbankans</t>
  </si>
  <si>
    <t>Sími 410 7328</t>
  </si>
  <si>
    <t>Dagatalið er birt með fyrirvara um breytingar</t>
  </si>
  <si>
    <t>svið</t>
  </si>
  <si>
    <t>Jöfnunar-</t>
  </si>
  <si>
    <t>færslur</t>
  </si>
  <si>
    <t>Einstaklings-</t>
  </si>
  <si>
    <t>Kynningu þessari er einvörðungu ætlað að vera til upplýsinga og skal hvorki tekið sem tilboði eða hvatningu um áskrift, kaup eða sölu á fjármálagerningum af hvaða tegund sem er.</t>
  </si>
  <si>
    <t>Upplýsingar í kynningu þessari hafa ekki verið sannreyndar sérstaklega.  Landsbankinn ábyrgist ekki að upplýsingar eða skoðanir í kynningu þessari séu nákvæmar, sanngjarnar eða tæmandi.</t>
  </si>
  <si>
    <t>Í kynningu þessari kunna að vera áætlanir og framtíðarspár sem eru háðar ýmsum áhættum og óvissuþáttum sem gætu leitt til þess að raunveruleg niðurstaða verði í verulegum atriðum önnur og sem gætu haft neikvæð fjárhagsleg áhrif á þau atriði sem fjallað erum í kynningu þessari.</t>
  </si>
  <si>
    <t>Landsbankinn ber enga ábyrgð á beinu eða óbeinu tjóni, hvernig sem það er tilkomið, vegna notkunar á þessari kynningu.</t>
  </si>
  <si>
    <t>Landsbankinn er ekki skuldbundinn til að uppfæra kynningu þessa, veita frekari upplýsingar eða leiðrétta villur sem kunna að koma í ljós.</t>
  </si>
  <si>
    <t>Rekstur ársfjórðunga</t>
  </si>
  <si>
    <t>Rekstur - ár</t>
  </si>
  <si>
    <t>Rekstur - ársfjórðungar</t>
  </si>
  <si>
    <t>Efnahagur - ár</t>
  </si>
  <si>
    <t>Kennitölur - ár</t>
  </si>
  <si>
    <t>Kennitölur - ársfjórðungar</t>
  </si>
  <si>
    <t>Aðrar rekstrartekjur og gjöld</t>
  </si>
  <si>
    <t>Virðisbreyting og virðisrýrnun útlána og krafna</t>
  </si>
  <si>
    <t>Efnahagur - ársfjórðungar</t>
  </si>
  <si>
    <t>Arðsemi heildareigna eftir skatta*</t>
  </si>
  <si>
    <t>Vaxtamunur eigna og skulda**</t>
  </si>
  <si>
    <t>Kostnaðarhlutfall***</t>
  </si>
  <si>
    <t>**Vaxtamunur eigna og skulda = vaxtatekjur sem hlutfall af meðalstöðu heildareigna - vaxtagjöld sem hlutfall af meðalstöðu heildarskulda</t>
  </si>
  <si>
    <t>Arðsemi eigin fjár fyrir skatta*</t>
  </si>
  <si>
    <t>Arðsemi heildareigna eftir skatta**</t>
  </si>
  <si>
    <t>Vaxtamunur eigna og skulda***</t>
  </si>
  <si>
    <t>Kostnaðarhlutfall****</t>
  </si>
  <si>
    <t>***Vaxtamunur eigna og skulda = vaxtatekjur sem hlutfall af meðalstöðu heildareigna - vaxtagjöld sem hlutfall af meðalstöðu heildarskulda</t>
  </si>
  <si>
    <t>Frekari upplýingar um eldri tímabil eru aðgengileg í excel fjárhagsbók</t>
  </si>
  <si>
    <t>Hagnaður (tap) ársins</t>
  </si>
  <si>
    <t>Hagnaður (tap) fyrir skatta</t>
  </si>
  <si>
    <t>Hagnaður (tap) tímabilsins</t>
  </si>
  <si>
    <t>Hagnaður (tap) ársins af áframhaldandi starfsemi</t>
  </si>
  <si>
    <t>Hagnaður (tap) tímabilsins af áframhaldandi starfsemi</t>
  </si>
  <si>
    <t>Landsbankinn í hnotskurn</t>
  </si>
  <si>
    <t>Um Landsbankann</t>
  </si>
  <si>
    <t>Efnahagur</t>
  </si>
  <si>
    <t>ISKm</t>
  </si>
  <si>
    <t>EURm</t>
  </si>
  <si>
    <t>Eignir alls</t>
  </si>
  <si>
    <t>Kröfur á fjármálafyrirtæki</t>
  </si>
  <si>
    <t>Skuldabréf</t>
  </si>
  <si>
    <t>Eiginfjárhlutfall</t>
  </si>
  <si>
    <t>Útlán/innlán viðskiptavina</t>
  </si>
  <si>
    <t>Viðskiptavinir og útibú</t>
  </si>
  <si>
    <t>Rekstrarreikningur</t>
  </si>
  <si>
    <t>Einstaklingar</t>
  </si>
  <si>
    <t>Rekstrartekjur</t>
  </si>
  <si>
    <t>Fyrirtæki</t>
  </si>
  <si>
    <t>Fjöldi útibúa</t>
  </si>
  <si>
    <t>Starfsmannafjöldi</t>
  </si>
  <si>
    <t>Vaxtamunur eigna og skulda</t>
  </si>
  <si>
    <t>Kostnaðarhlutfall</t>
  </si>
  <si>
    <t>Fjármögnun</t>
  </si>
  <si>
    <t>Útlán og aðrar fyrirgreiðslur eftir atvinnugreinum</t>
  </si>
  <si>
    <t>Áhætta</t>
  </si>
  <si>
    <t>F4 2016</t>
  </si>
  <si>
    <t>Hreinn gengismunur</t>
  </si>
  <si>
    <t xml:space="preserve">Eiginfjárhlutfall </t>
  </si>
  <si>
    <t>*Arðsemi eigin fjár fyrir skatta = hagnaður fyrir skatta / meðalstöðu eiginfjár</t>
  </si>
  <si>
    <t>**Arðsemi heildareigna eftir skatta = hagnaður eftir skatta / meðalstöðu heildareigna</t>
  </si>
  <si>
    <t>****Kostnaðarhlutfall = rekstrargjöld alls að frátalinni gjaldfærslu vegna hlutabréfatengdra launaliða / (hreinar rekstrartekjur - virðisbreytingar útlána )</t>
  </si>
  <si>
    <t>*Arðsemi heildareigna eftir skatta = hagnaður eftir skatta / meðalstöðu heildareigna</t>
  </si>
  <si>
    <t>***Kostnaðarhlutfall = rekstrargjöld alls að frátalinni gjaldfærslu vegna hlutabréfatengdra launaliða / (hreinar rekstrartekjur - virðisbreytingar útlána )</t>
  </si>
  <si>
    <t>Lykiltölur og hlutföll</t>
  </si>
  <si>
    <t>Skilgreining</t>
  </si>
  <si>
    <t xml:space="preserve">Kostnaðarhlutfall </t>
  </si>
  <si>
    <t>Rekstrargjöld / (hreinar rekstrartekjur - virðisbreytingar útlána)</t>
  </si>
  <si>
    <t>(Vaxtatekjur / meðalstöðu eigna) - (vaxtagjöld / meðalstöðu skulda)</t>
  </si>
  <si>
    <t xml:space="preserve">Hlutfall útlána til viðskiptamanna af innlánum </t>
  </si>
  <si>
    <t xml:space="preserve">Útlán og kröfur á viðskiptavini/ innlán frá viðskiptavinum </t>
  </si>
  <si>
    <t xml:space="preserve">Hlutfall innlána af heildareignum </t>
  </si>
  <si>
    <t xml:space="preserve">Innlán frá viðskiptavinum/ eignir alls </t>
  </si>
  <si>
    <t xml:space="preserve">Hagnaður á hlut </t>
  </si>
  <si>
    <t xml:space="preserve">Arður á hlut </t>
  </si>
  <si>
    <t>Greiddur arður/ fjölda útistandandi hluta</t>
  </si>
  <si>
    <t>Almennt eigið fé þáttar 1 (CET1)</t>
  </si>
  <si>
    <t>Bókfært eigið fé - frádráttarliðir (óefnislegar eignir, frestuð skattinneign)</t>
  </si>
  <si>
    <t>Viðbótar eigið fé þáttar 1 (AT1)</t>
  </si>
  <si>
    <t xml:space="preserve">Eiginfjárgerningar undir þætti 1 aðrir en almennt eigið fé þáttar 1 </t>
  </si>
  <si>
    <t xml:space="preserve">Vogunarhlutfall </t>
  </si>
  <si>
    <t xml:space="preserve">Lausafjárþekja </t>
  </si>
  <si>
    <t xml:space="preserve">Fjármögnunarþekja erlendra mynta </t>
  </si>
  <si>
    <t>Tiltæk stöðug fjármögnun / nauðsynleg stöðug fjármögnun</t>
  </si>
  <si>
    <t>F1 2017</t>
  </si>
  <si>
    <t>F2 2017</t>
  </si>
  <si>
    <t>Fjöldi starfsmanna í lok tímabils</t>
  </si>
  <si>
    <t>Hrein virðisbreyting og virðisrýrnun útlána og krafna</t>
  </si>
  <si>
    <t>F3 2017</t>
  </si>
  <si>
    <t>Samtals eigið fé þáttar 1 (Tier 1)</t>
  </si>
  <si>
    <t>Samtals eigið fé þáttar 2 (Tier 2)</t>
  </si>
  <si>
    <t>2017</t>
  </si>
  <si>
    <t>F4 2017</t>
  </si>
  <si>
    <t>Heildarlausafjárþekja</t>
  </si>
  <si>
    <t xml:space="preserve">Hagnaður ársins sem tilheyrir hluthöfum/ veginn meðalfjöldi útistandandi hluta </t>
  </si>
  <si>
    <t xml:space="preserve">Almennt eigið fé þáttar 1 + viðbótar eigið fé þáttar 1 </t>
  </si>
  <si>
    <t>F1 2018</t>
  </si>
  <si>
    <t>Margrét Guðrún Valdimarsdóttir</t>
  </si>
  <si>
    <t>Sími 410 6716</t>
  </si>
  <si>
    <t>Samtals eigið fé þáttar 1 / (heildareignir + liðir utan efnahags)</t>
  </si>
  <si>
    <t>Eiginfjárgrunnur samkvæmt ákvæðum laga / áhættugrunnur</t>
  </si>
  <si>
    <t>Víkjandi lán - lögbundnar niðurfærslur</t>
  </si>
  <si>
    <t>Lausafjárforði / nettóútflæði lausafjár næstu 30 daga á álagstímabili</t>
  </si>
  <si>
    <t>F2 2018</t>
  </si>
  <si>
    <t>Hagnaður fyrir skatta / meðalstaða eigin fjár á tímabili</t>
  </si>
  <si>
    <t>Hagnaður / meðalstaða eigin fjár á tímabili</t>
  </si>
  <si>
    <t>F3 2018</t>
  </si>
  <si>
    <t>2. maí 2019 - Uppgjör 1F 2019</t>
  </si>
  <si>
    <t>25. júlí 2019 - Uppgjör 1H 2019</t>
  </si>
  <si>
    <t>24. október 2019 - Uppgjör 3F 2019</t>
  </si>
  <si>
    <t>6. febrúar 2020 - Ársuppgjör 2019</t>
  </si>
  <si>
    <t>2018</t>
  </si>
  <si>
    <t>F4 2018</t>
  </si>
  <si>
    <t xml:space="preserve">Ársverk í árslok </t>
  </si>
  <si>
    <t>Hagnaður eftir skatta / meðalstaða eigna á tímabili</t>
  </si>
  <si>
    <t>Arðsemi eigna</t>
  </si>
  <si>
    <t>Rekstrarkostnaður í hlutfalli af meðalstöðu heildareigna****</t>
  </si>
  <si>
    <t>31. mars 2019</t>
  </si>
  <si>
    <t>F1 2019</t>
  </si>
  <si>
    <t>Starfsþættir - 1.1. - 31.3.2019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</si>
</sst>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0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8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rgb="FF09436A"/>
      <name val="Arial"/>
      <family val="2"/>
      <scheme val="minor"/>
    </font>
    <font>
      <sz val="8"/>
      <color rgb="FF09436A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8"/>
      <color rgb="FF0A456B"/>
      <name val="Arial"/>
      <family val="2"/>
      <scheme val="minor"/>
    </font>
    <font>
      <b/>
      <sz val="8"/>
      <color rgb="FF0A456B"/>
      <name val="Arial"/>
      <family val="2"/>
      <scheme val="minor"/>
    </font>
    <font>
      <b/>
      <sz val="8"/>
      <color rgb="FF0B3358"/>
      <name val="Arial"/>
      <family val="2"/>
      <scheme val="minor"/>
    </font>
    <font>
      <sz val="8"/>
      <color rgb="FF0B3358"/>
      <name val="Arial"/>
      <family val="2"/>
      <scheme val="minor"/>
    </font>
    <font>
      <b/>
      <sz val="12"/>
      <color rgb="FF0A456B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C466B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6"/>
      <color theme="0"/>
      <name val="Arial"/>
      <family val="2"/>
      <scheme val="minor"/>
    </font>
    <font>
      <sz val="22"/>
      <color theme="0"/>
      <name val="Arial"/>
      <family val="2"/>
      <scheme val="minor"/>
    </font>
    <font>
      <sz val="22"/>
      <color theme="1"/>
      <name val="Arial"/>
      <family val="2"/>
      <scheme val="minor"/>
    </font>
    <font>
      <u/>
      <sz val="12"/>
      <color theme="0"/>
      <name val="Arial"/>
      <family val="2"/>
      <scheme val="minor"/>
    </font>
    <font>
      <sz val="10"/>
      <color rgb="FF0A456B"/>
      <name val="Arial"/>
      <family val="2"/>
      <scheme val="minor"/>
    </font>
    <font>
      <sz val="12"/>
      <color rgb="FF0A456B"/>
      <name val="Arial"/>
      <family val="2"/>
      <scheme val="minor"/>
    </font>
    <font>
      <sz val="12"/>
      <color rgb="FF00395A"/>
      <name val="Arial"/>
      <family val="2"/>
      <scheme val="minor"/>
    </font>
    <font>
      <u/>
      <sz val="12"/>
      <color rgb="FF00395A"/>
      <name val="Arial"/>
      <family val="2"/>
      <scheme val="minor"/>
    </font>
    <font>
      <b/>
      <u/>
      <sz val="12"/>
      <color rgb="FF00395A"/>
      <name val="Arial"/>
      <family val="2"/>
      <scheme val="minor"/>
    </font>
    <font>
      <sz val="12"/>
      <color theme="1"/>
      <name val="Lag"/>
    </font>
    <font>
      <b/>
      <sz val="10"/>
      <color rgb="FF0A456B"/>
      <name val="Arial"/>
      <family val="2"/>
      <scheme val="minor"/>
    </font>
    <font>
      <sz val="28"/>
      <color theme="0"/>
      <name val="Arial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color rgb="FF525252"/>
      <name val="Arial"/>
      <family val="2"/>
    </font>
    <font>
      <b/>
      <sz val="9"/>
      <color theme="0"/>
      <name val="Arial"/>
      <family val="2"/>
    </font>
    <font>
      <b/>
      <sz val="10"/>
      <color rgb="FF525252"/>
      <name val="Arial"/>
      <family val="2"/>
    </font>
    <font>
      <sz val="10"/>
      <color rgb="FF525252"/>
      <name val="Arial"/>
      <family val="2"/>
    </font>
    <font>
      <sz val="9"/>
      <color rgb="FF525252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4"/>
      <color rgb="FF525252"/>
      <name val="Lais"/>
      <family val="3"/>
    </font>
    <font>
      <b/>
      <sz val="14"/>
      <color rgb="FF525252"/>
      <name val="Arial"/>
      <family val="2"/>
    </font>
    <font>
      <b/>
      <sz val="11"/>
      <color theme="1"/>
      <name val="Arial"/>
      <family val="2"/>
    </font>
    <font>
      <sz val="24"/>
      <color rgb="FF525252"/>
      <name val="Arial"/>
      <family val="2"/>
    </font>
    <font>
      <sz val="12"/>
      <color rgb="FF52525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5E1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95A"/>
        <bgColor indexed="64"/>
      </patternFill>
    </fill>
    <fill>
      <patternFill patternType="solid">
        <fgColor rgb="FF11415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rgb="FF09355A"/>
      </bottom>
      <diagonal/>
    </border>
    <border>
      <left/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/>
      <top style="thick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/>
      <top style="thin">
        <color rgb="FF09355A"/>
      </top>
      <bottom/>
      <diagonal/>
    </border>
    <border>
      <left style="thin">
        <color rgb="FF00395A"/>
      </left>
      <right/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/>
      <top/>
      <bottom style="thin">
        <color rgb="FF09355A"/>
      </bottom>
      <diagonal/>
    </border>
    <border>
      <left style="thin">
        <color rgb="FF09355A"/>
      </left>
      <right style="thin">
        <color rgb="FF09355A"/>
      </right>
      <top/>
      <bottom style="thin">
        <color rgb="FF09355A"/>
      </bottom>
      <diagonal/>
    </border>
    <border>
      <left style="thin">
        <color rgb="FF00395A"/>
      </left>
      <right/>
      <top/>
      <bottom style="thin">
        <color rgb="FF09355A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rgb="FFFF8319"/>
      </bottom>
      <diagonal/>
    </border>
    <border>
      <left style="thin">
        <color rgb="FF0039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/>
      <bottom style="thin">
        <color rgb="FF09355A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rgb="FF09355A"/>
      </bottom>
      <diagonal/>
    </border>
    <border>
      <left/>
      <right/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/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/>
      <diagonal/>
    </border>
    <border>
      <left style="thin">
        <color rgb="FF00395A"/>
      </left>
      <right style="thin">
        <color indexed="64"/>
      </right>
      <top/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9355A"/>
      </left>
      <right style="thin">
        <color rgb="FF09355A"/>
      </right>
      <top style="thin">
        <color auto="1"/>
      </top>
      <bottom style="thin">
        <color rgb="FF09355A"/>
      </bottom>
      <diagonal/>
    </border>
  </borders>
  <cellStyleXfs count="66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21" fillId="0" borderId="2" xfId="0" applyFont="1" applyBorder="1" applyAlignment="1">
      <alignment horizontal="left" vertical="center" wrapText="1" readingOrder="1"/>
    </xf>
    <xf numFmtId="3" fontId="18" fillId="0" borderId="4" xfId="0" applyNumberFormat="1" applyFont="1" applyBorder="1" applyAlignment="1">
      <alignment horizontal="center" vertical="center" wrapText="1" readingOrder="1"/>
    </xf>
    <xf numFmtId="3" fontId="18" fillId="0" borderId="2" xfId="0" applyNumberFormat="1" applyFont="1" applyBorder="1" applyAlignment="1">
      <alignment horizontal="center" vertical="center" wrapText="1" readingOrder="1"/>
    </xf>
    <xf numFmtId="0" fontId="21" fillId="0" borderId="5" xfId="0" applyFont="1" applyBorder="1" applyAlignment="1">
      <alignment horizontal="left" vertical="center" wrapText="1" readingOrder="1"/>
    </xf>
    <xf numFmtId="3" fontId="18" fillId="0" borderId="7" xfId="0" applyNumberFormat="1" applyFont="1" applyBorder="1" applyAlignment="1">
      <alignment horizontal="center" vertical="center" wrapText="1" readingOrder="1"/>
    </xf>
    <xf numFmtId="3" fontId="18" fillId="0" borderId="5" xfId="0" applyNumberFormat="1" applyFont="1" applyBorder="1" applyAlignment="1">
      <alignment horizontal="center" vertical="center" wrapText="1" readingOrder="1"/>
    </xf>
    <xf numFmtId="3" fontId="21" fillId="0" borderId="7" xfId="0" applyNumberFormat="1" applyFont="1" applyBorder="1" applyAlignment="1">
      <alignment horizontal="center" vertical="center" wrapText="1" readingOrder="1"/>
    </xf>
    <xf numFmtId="3" fontId="24" fillId="0" borderId="5" xfId="0" applyNumberFormat="1" applyFont="1" applyBorder="1" applyAlignment="1">
      <alignment horizontal="center" vertical="center" wrapText="1" readingOrder="1"/>
    </xf>
    <xf numFmtId="3" fontId="24" fillId="0" borderId="6" xfId="0" applyNumberFormat="1" applyFont="1" applyBorder="1" applyAlignment="1">
      <alignment horizontal="center" vertical="center" wrapText="1" readingOrder="1"/>
    </xf>
    <xf numFmtId="3" fontId="24" fillId="0" borderId="7" xfId="0" applyNumberFormat="1" applyFont="1" applyBorder="1" applyAlignment="1">
      <alignment horizontal="center" vertical="center" wrapText="1" readingOrder="1"/>
    </xf>
    <xf numFmtId="9" fontId="21" fillId="0" borderId="5" xfId="0" applyNumberFormat="1" applyFont="1" applyBorder="1" applyAlignment="1">
      <alignment horizontal="center" vertical="center" wrapText="1" readingOrder="1"/>
    </xf>
    <xf numFmtId="0" fontId="21" fillId="0" borderId="6" xfId="0" applyFont="1" applyBorder="1" applyAlignment="1">
      <alignment horizontal="center" vertical="center" wrapText="1" readingOrder="1"/>
    </xf>
    <xf numFmtId="0" fontId="21" fillId="0" borderId="7" xfId="0" applyFont="1" applyBorder="1" applyAlignment="1">
      <alignment horizontal="center" vertical="center" wrapText="1" readingOrder="1"/>
    </xf>
    <xf numFmtId="9" fontId="24" fillId="0" borderId="5" xfId="0" applyNumberFormat="1" applyFont="1" applyBorder="1" applyAlignment="1">
      <alignment horizontal="center" vertical="center" wrapText="1" readingOrder="1"/>
    </xf>
    <xf numFmtId="9" fontId="24" fillId="0" borderId="6" xfId="0" applyNumberFormat="1" applyFont="1" applyBorder="1" applyAlignment="1">
      <alignment horizontal="center" vertical="center" wrapText="1" readingOrder="1"/>
    </xf>
    <xf numFmtId="9" fontId="24" fillId="0" borderId="7" xfId="0" applyNumberFormat="1" applyFont="1" applyBorder="1" applyAlignment="1">
      <alignment horizontal="center" vertical="center" wrapText="1" readingOrder="1"/>
    </xf>
    <xf numFmtId="9" fontId="21" fillId="0" borderId="6" xfId="0" applyNumberFormat="1" applyFont="1" applyBorder="1" applyAlignment="1">
      <alignment horizontal="center" vertical="center" wrapText="1" readingOrder="1"/>
    </xf>
    <xf numFmtId="0" fontId="21" fillId="0" borderId="8" xfId="0" applyFont="1" applyBorder="1" applyAlignment="1">
      <alignment horizontal="left" vertical="center" wrapText="1" readingOrder="1"/>
    </xf>
    <xf numFmtId="3" fontId="21" fillId="0" borderId="8" xfId="0" applyNumberFormat="1" applyFont="1" applyBorder="1" applyAlignment="1">
      <alignment horizontal="center" vertical="center" wrapText="1" readingOrder="1"/>
    </xf>
    <xf numFmtId="3" fontId="21" fillId="0" borderId="9" xfId="0" applyNumberFormat="1" applyFont="1" applyBorder="1" applyAlignment="1">
      <alignment horizontal="center" vertical="center" wrapText="1" readingOrder="1"/>
    </xf>
    <xf numFmtId="3" fontId="21" fillId="0" borderId="10" xfId="0" applyNumberFormat="1" applyFont="1" applyBorder="1" applyAlignment="1">
      <alignment horizontal="center" vertical="center" wrapText="1" readingOrder="1"/>
    </xf>
    <xf numFmtId="0" fontId="22" fillId="2" borderId="5" xfId="0" applyFont="1" applyFill="1" applyBorder="1" applyAlignment="1">
      <alignment horizontal="left" vertical="center" wrapText="1" readingOrder="1"/>
    </xf>
    <xf numFmtId="3" fontId="17" fillId="2" borderId="6" xfId="0" applyNumberFormat="1" applyFont="1" applyFill="1" applyBorder="1" applyAlignment="1">
      <alignment horizontal="center" vertical="center" wrapText="1" readingOrder="1"/>
    </xf>
    <xf numFmtId="3" fontId="17" fillId="2" borderId="7" xfId="0" applyNumberFormat="1" applyFont="1" applyFill="1" applyBorder="1" applyAlignment="1">
      <alignment horizontal="center" vertical="center" wrapText="1" readingOrder="1"/>
    </xf>
    <xf numFmtId="164" fontId="24" fillId="0" borderId="6" xfId="0" applyNumberFormat="1" applyFont="1" applyBorder="1" applyAlignment="1">
      <alignment horizontal="center" vertical="center" wrapText="1" readingOrder="1"/>
    </xf>
    <xf numFmtId="3" fontId="18" fillId="3" borderId="3" xfId="0" applyNumberFormat="1" applyFont="1" applyFill="1" applyBorder="1" applyAlignment="1">
      <alignment horizontal="center" vertical="center" wrapText="1" readingOrder="1"/>
    </xf>
    <xf numFmtId="3" fontId="18" fillId="3" borderId="6" xfId="0" applyNumberFormat="1" applyFont="1" applyFill="1" applyBorder="1" applyAlignment="1">
      <alignment horizontal="center" vertical="center" wrapText="1" readingOrder="1"/>
    </xf>
    <xf numFmtId="0" fontId="18" fillId="3" borderId="1" xfId="0" applyFont="1" applyFill="1" applyBorder="1" applyAlignment="1">
      <alignment horizontal="center" vertical="center" wrapText="1" readingOrder="1"/>
    </xf>
    <xf numFmtId="164" fontId="21" fillId="0" borderId="5" xfId="0" applyNumberFormat="1" applyFont="1" applyBorder="1" applyAlignment="1">
      <alignment horizontal="center" vertical="center" wrapText="1" readingOrder="1"/>
    </xf>
    <xf numFmtId="164" fontId="21" fillId="0" borderId="6" xfId="0" applyNumberFormat="1" applyFont="1" applyBorder="1" applyAlignment="1">
      <alignment horizontal="center" vertical="center" wrapText="1" readingOrder="1"/>
    </xf>
    <xf numFmtId="164" fontId="21" fillId="0" borderId="7" xfId="0" applyNumberFormat="1" applyFont="1" applyBorder="1" applyAlignment="1">
      <alignment horizontal="center" vertical="center" wrapText="1" readingOrder="1"/>
    </xf>
    <xf numFmtId="164" fontId="24" fillId="0" borderId="5" xfId="0" applyNumberFormat="1" applyFont="1" applyBorder="1" applyAlignment="1">
      <alignment horizontal="center" vertical="center" wrapText="1" readingOrder="1"/>
    </xf>
    <xf numFmtId="164" fontId="24" fillId="0" borderId="7" xfId="0" applyNumberFormat="1" applyFont="1" applyBorder="1" applyAlignment="1">
      <alignment horizontal="center" vertical="center" wrapText="1" readingOrder="1"/>
    </xf>
    <xf numFmtId="0" fontId="21" fillId="0" borderId="14" xfId="0" applyFont="1" applyBorder="1" applyAlignment="1">
      <alignment horizontal="left" vertical="center" wrapText="1" readingOrder="1"/>
    </xf>
    <xf numFmtId="3" fontId="18" fillId="0" borderId="14" xfId="0" applyNumberFormat="1" applyFont="1" applyBorder="1" applyAlignment="1">
      <alignment horizontal="center" vertical="center" wrapText="1" readingOrder="1"/>
    </xf>
    <xf numFmtId="3" fontId="18" fillId="0" borderId="15" xfId="0" applyNumberFormat="1" applyFont="1" applyBorder="1" applyAlignment="1">
      <alignment horizontal="center" vertical="center" wrapText="1" readingOrder="1"/>
    </xf>
    <xf numFmtId="3" fontId="18" fillId="3" borderId="5" xfId="0" applyNumberFormat="1" applyFont="1" applyFill="1" applyBorder="1" applyAlignment="1">
      <alignment horizontal="center" vertical="center" wrapText="1" readingOrder="1"/>
    </xf>
    <xf numFmtId="0" fontId="18" fillId="3" borderId="7" xfId="0" applyFont="1" applyFill="1" applyBorder="1" applyAlignment="1">
      <alignment horizontal="center" vertical="center" wrapText="1" readingOrder="1"/>
    </xf>
    <xf numFmtId="3" fontId="18" fillId="3" borderId="7" xfId="0" applyNumberFormat="1" applyFont="1" applyFill="1" applyBorder="1" applyAlignment="1">
      <alignment horizontal="center" vertical="center" wrapText="1" readingOrder="1"/>
    </xf>
    <xf numFmtId="3" fontId="18" fillId="3" borderId="2" xfId="0" applyNumberFormat="1" applyFont="1" applyFill="1" applyBorder="1" applyAlignment="1">
      <alignment horizontal="center" vertical="center" wrapText="1" readingOrder="1"/>
    </xf>
    <xf numFmtId="3" fontId="18" fillId="3" borderId="4" xfId="0" applyNumberFormat="1" applyFont="1" applyFill="1" applyBorder="1" applyAlignment="1">
      <alignment horizontal="center" vertical="center" wrapText="1" readingOrder="1"/>
    </xf>
    <xf numFmtId="0" fontId="18" fillId="3" borderId="6" xfId="0" applyFont="1" applyFill="1" applyBorder="1" applyAlignment="1">
      <alignment horizontal="center" vertical="center" wrapText="1" readingOrder="1"/>
    </xf>
    <xf numFmtId="0" fontId="21" fillId="3" borderId="5" xfId="0" applyFont="1" applyFill="1" applyBorder="1" applyAlignment="1">
      <alignment horizontal="left" vertical="center" wrapText="1" readingOrder="1"/>
    </xf>
    <xf numFmtId="3" fontId="21" fillId="3" borderId="6" xfId="0" applyNumberFormat="1" applyFont="1" applyFill="1" applyBorder="1" applyAlignment="1">
      <alignment horizontal="center" vertical="center" wrapText="1" readingOrder="1"/>
    </xf>
    <xf numFmtId="3" fontId="21" fillId="3" borderId="5" xfId="0" applyNumberFormat="1" applyFont="1" applyFill="1" applyBorder="1" applyAlignment="1">
      <alignment horizontal="center" vertical="center" wrapText="1" readingOrder="1"/>
    </xf>
    <xf numFmtId="3" fontId="24" fillId="3" borderId="6" xfId="0" applyNumberFormat="1" applyFont="1" applyFill="1" applyBorder="1" applyAlignment="1">
      <alignment horizontal="center" vertical="center" wrapText="1" readingOrder="1"/>
    </xf>
    <xf numFmtId="3" fontId="24" fillId="3" borderId="7" xfId="0" applyNumberFormat="1" applyFont="1" applyFill="1" applyBorder="1" applyAlignment="1">
      <alignment horizontal="center" vertical="center" wrapText="1" readingOrder="1"/>
    </xf>
    <xf numFmtId="2" fontId="21" fillId="3" borderId="5" xfId="0" applyNumberFormat="1" applyFont="1" applyFill="1" applyBorder="1" applyAlignment="1">
      <alignment horizontal="center" vertical="center" wrapText="1" readingOrder="1"/>
    </xf>
    <xf numFmtId="2" fontId="21" fillId="3" borderId="6" xfId="0" applyNumberFormat="1" applyFont="1" applyFill="1" applyBorder="1" applyAlignment="1">
      <alignment horizontal="center" vertical="center" wrapText="1" readingOrder="1"/>
    </xf>
    <xf numFmtId="2" fontId="21" fillId="3" borderId="7" xfId="0" applyNumberFormat="1" applyFont="1" applyFill="1" applyBorder="1" applyAlignment="1">
      <alignment horizontal="center" vertical="center" wrapText="1" readingOrder="1"/>
    </xf>
    <xf numFmtId="164" fontId="21" fillId="3" borderId="7" xfId="0" applyNumberFormat="1" applyFont="1" applyFill="1" applyBorder="1" applyAlignment="1">
      <alignment horizontal="center" vertical="center" wrapText="1" readingOrder="1"/>
    </xf>
    <xf numFmtId="164" fontId="24" fillId="3" borderId="7" xfId="0" applyNumberFormat="1" applyFont="1" applyFill="1" applyBorder="1" applyAlignment="1">
      <alignment horizontal="center" vertical="center" wrapText="1" readingOrder="1"/>
    </xf>
    <xf numFmtId="3" fontId="24" fillId="3" borderId="4" xfId="0" applyNumberFormat="1" applyFont="1" applyFill="1" applyBorder="1" applyAlignment="1">
      <alignment horizontal="center" vertical="center" wrapText="1" readingOrder="1"/>
    </xf>
    <xf numFmtId="0" fontId="0" fillId="3" borderId="0" xfId="0" applyFill="1"/>
    <xf numFmtId="0" fontId="25" fillId="3" borderId="0" xfId="0" applyFont="1" applyFill="1" applyBorder="1" applyAlignment="1">
      <alignment horizontal="left" vertical="center" wrapText="1" readingOrder="1"/>
    </xf>
    <xf numFmtId="0" fontId="14" fillId="3" borderId="0" xfId="0" applyFont="1" applyFill="1"/>
    <xf numFmtId="0" fontId="15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horizontal="left" vertical="center" wrapText="1" readingOrder="1"/>
    </xf>
    <xf numFmtId="3" fontId="0" fillId="3" borderId="0" xfId="0" applyNumberFormat="1" applyFill="1"/>
    <xf numFmtId="0" fontId="21" fillId="3" borderId="1" xfId="0" applyFont="1" applyFill="1" applyBorder="1" applyAlignment="1">
      <alignment horizontal="left" vertical="center" wrapText="1" readingOrder="1"/>
    </xf>
    <xf numFmtId="0" fontId="27" fillId="3" borderId="0" xfId="0" applyFont="1" applyFill="1"/>
    <xf numFmtId="164" fontId="0" fillId="3" borderId="0" xfId="39" applyNumberFormat="1" applyFont="1" applyFill="1"/>
    <xf numFmtId="3" fontId="21" fillId="3" borderId="3" xfId="0" applyNumberFormat="1" applyFont="1" applyFill="1" applyBorder="1" applyAlignment="1">
      <alignment horizontal="center" vertical="center" wrapText="1" readingOrder="1"/>
    </xf>
    <xf numFmtId="3" fontId="21" fillId="3" borderId="2" xfId="0" applyNumberFormat="1" applyFont="1" applyFill="1" applyBorder="1" applyAlignment="1">
      <alignment horizontal="center" vertical="center" wrapText="1" readingOrder="1"/>
    </xf>
    <xf numFmtId="3" fontId="24" fillId="3" borderId="3" xfId="0" applyNumberFormat="1" applyFont="1" applyFill="1" applyBorder="1" applyAlignment="1">
      <alignment horizontal="center" vertical="center" wrapText="1" readingOrder="1"/>
    </xf>
    <xf numFmtId="0" fontId="21" fillId="3" borderId="1" xfId="0" applyFont="1" applyFill="1" applyBorder="1" applyAlignment="1">
      <alignment horizontal="center" vertical="center" wrapText="1" readingOrder="1"/>
    </xf>
    <xf numFmtId="0" fontId="24" fillId="3" borderId="1" xfId="0" applyFont="1" applyFill="1" applyBorder="1" applyAlignment="1">
      <alignment horizontal="center" vertical="center" wrapText="1" readingOrder="1"/>
    </xf>
    <xf numFmtId="0" fontId="21" fillId="3" borderId="6" xfId="0" applyFont="1" applyFill="1" applyBorder="1" applyAlignment="1">
      <alignment horizontal="center" vertical="center" wrapText="1" readingOrder="1"/>
    </xf>
    <xf numFmtId="0" fontId="21" fillId="3" borderId="5" xfId="0" applyFont="1" applyFill="1" applyBorder="1" applyAlignment="1">
      <alignment horizontal="center" vertical="center" wrapText="1" readingOrder="1"/>
    </xf>
    <xf numFmtId="0" fontId="24" fillId="3" borderId="6" xfId="0" applyFont="1" applyFill="1" applyBorder="1" applyAlignment="1">
      <alignment horizontal="center" vertical="center" wrapText="1" readingOrder="1"/>
    </xf>
    <xf numFmtId="0" fontId="24" fillId="3" borderId="7" xfId="0" applyFont="1" applyFill="1" applyBorder="1" applyAlignment="1">
      <alignment horizontal="center" vertical="center" wrapText="1" readingOrder="1"/>
    </xf>
    <xf numFmtId="0" fontId="21" fillId="3" borderId="0" xfId="0" applyFont="1" applyFill="1" applyBorder="1" applyAlignment="1">
      <alignment horizontal="left" vertical="center" readingOrder="1"/>
    </xf>
    <xf numFmtId="0" fontId="0" fillId="3" borderId="0" xfId="0" applyFill="1" applyAlignment="1"/>
    <xf numFmtId="0" fontId="0" fillId="4" borderId="0" xfId="0" applyFill="1"/>
    <xf numFmtId="0" fontId="29" fillId="4" borderId="0" xfId="0" applyFont="1" applyFill="1"/>
    <xf numFmtId="0" fontId="28" fillId="4" borderId="0" xfId="0" applyFont="1" applyFill="1" applyBorder="1" applyAlignment="1">
      <alignment horizontal="left" vertical="center" readingOrder="1"/>
    </xf>
    <xf numFmtId="0" fontId="29" fillId="3" borderId="0" xfId="0" applyFont="1" applyFill="1"/>
    <xf numFmtId="0" fontId="34" fillId="4" borderId="0" xfId="0" applyFont="1" applyFill="1"/>
    <xf numFmtId="0" fontId="35" fillId="4" borderId="0" xfId="0" applyFont="1" applyFill="1"/>
    <xf numFmtId="0" fontId="0" fillId="4" borderId="18" xfId="0" applyFill="1" applyBorder="1"/>
    <xf numFmtId="0" fontId="29" fillId="4" borderId="0" xfId="0" quotePrefix="1" applyFont="1" applyFill="1"/>
    <xf numFmtId="0" fontId="36" fillId="4" borderId="0" xfId="40" applyFont="1" applyFill="1"/>
    <xf numFmtId="0" fontId="21" fillId="3" borderId="5" xfId="0" applyFont="1" applyFill="1" applyBorder="1" applyAlignment="1">
      <alignment horizontal="left" vertical="center" readingOrder="1"/>
    </xf>
    <xf numFmtId="0" fontId="0" fillId="3" borderId="0" xfId="0" applyFill="1" applyBorder="1"/>
    <xf numFmtId="0" fontId="0" fillId="3" borderId="19" xfId="0" applyFill="1" applyBorder="1"/>
    <xf numFmtId="0" fontId="29" fillId="4" borderId="0" xfId="0" applyFont="1" applyFill="1" applyAlignment="1">
      <alignment vertical="center" readingOrder="1"/>
    </xf>
    <xf numFmtId="49" fontId="33" fillId="4" borderId="0" xfId="0" quotePrefix="1" applyNumberFormat="1" applyFont="1" applyFill="1" applyAlignment="1">
      <alignment horizontal="left"/>
    </xf>
    <xf numFmtId="0" fontId="38" fillId="3" borderId="0" xfId="0" applyFont="1" applyFill="1" applyBorder="1" applyAlignment="1">
      <alignment vertical="center" readingOrder="1"/>
    </xf>
    <xf numFmtId="0" fontId="0" fillId="3" borderId="0" xfId="0" applyFont="1" applyFill="1" applyAlignment="1"/>
    <xf numFmtId="0" fontId="21" fillId="3" borderId="14" xfId="0" applyFont="1" applyFill="1" applyBorder="1" applyAlignment="1">
      <alignment horizontal="left" vertical="center" readingOrder="1"/>
    </xf>
    <xf numFmtId="0" fontId="21" fillId="3" borderId="2" xfId="0" applyFont="1" applyFill="1" applyBorder="1" applyAlignment="1">
      <alignment horizontal="left" vertical="center" readingOrder="1"/>
    </xf>
    <xf numFmtId="0" fontId="21" fillId="0" borderId="2" xfId="0" applyFont="1" applyBorder="1" applyAlignment="1">
      <alignment horizontal="left" vertical="center" readingOrder="1"/>
    </xf>
    <xf numFmtId="3" fontId="18" fillId="3" borderId="14" xfId="0" applyNumberFormat="1" applyFont="1" applyFill="1" applyBorder="1" applyAlignment="1">
      <alignment horizontal="center" vertical="center" readingOrder="1"/>
    </xf>
    <xf numFmtId="3" fontId="18" fillId="3" borderId="16" xfId="0" applyNumberFormat="1" applyFont="1" applyFill="1" applyBorder="1" applyAlignment="1">
      <alignment horizontal="center" vertical="center" readingOrder="1"/>
    </xf>
    <xf numFmtId="3" fontId="18" fillId="3" borderId="17" xfId="0" applyNumberFormat="1" applyFont="1" applyFill="1" applyBorder="1" applyAlignment="1">
      <alignment horizontal="center" vertical="center" readingOrder="1"/>
    </xf>
    <xf numFmtId="3" fontId="18" fillId="3" borderId="5" xfId="0" applyNumberFormat="1" applyFont="1" applyFill="1" applyBorder="1" applyAlignment="1">
      <alignment horizontal="center" vertical="center" readingOrder="1"/>
    </xf>
    <xf numFmtId="3" fontId="18" fillId="3" borderId="6" xfId="0" applyNumberFormat="1" applyFont="1" applyFill="1" applyBorder="1" applyAlignment="1">
      <alignment horizontal="center" vertical="center" readingOrder="1"/>
    </xf>
    <xf numFmtId="3" fontId="18" fillId="3" borderId="12" xfId="0" applyNumberFormat="1" applyFont="1" applyFill="1" applyBorder="1" applyAlignment="1">
      <alignment horizontal="center" vertical="center" readingOrder="1"/>
    </xf>
    <xf numFmtId="3" fontId="18" fillId="3" borderId="13" xfId="0" applyNumberFormat="1" applyFont="1" applyFill="1" applyBorder="1" applyAlignment="1">
      <alignment horizontal="center" vertical="center" readingOrder="1"/>
    </xf>
    <xf numFmtId="0" fontId="18" fillId="3" borderId="1" xfId="0" applyFont="1" applyFill="1" applyBorder="1" applyAlignment="1">
      <alignment horizontal="center" vertical="center" readingOrder="1"/>
    </xf>
    <xf numFmtId="3" fontId="18" fillId="3" borderId="2" xfId="0" applyNumberFormat="1" applyFont="1" applyFill="1" applyBorder="1" applyAlignment="1">
      <alignment horizontal="center" vertical="center" readingOrder="1"/>
    </xf>
    <xf numFmtId="3" fontId="18" fillId="3" borderId="3" xfId="0" applyNumberFormat="1" applyFont="1" applyFill="1" applyBorder="1" applyAlignment="1">
      <alignment horizontal="center" vertical="center" readingOrder="1"/>
    </xf>
    <xf numFmtId="3" fontId="18" fillId="3" borderId="11" xfId="0" applyNumberFormat="1" applyFont="1" applyFill="1" applyBorder="1" applyAlignment="1">
      <alignment horizontal="center" vertical="center" readingOrder="1"/>
    </xf>
    <xf numFmtId="0" fontId="18" fillId="3" borderId="5" xfId="0" applyFont="1" applyFill="1" applyBorder="1" applyAlignment="1">
      <alignment horizontal="center" vertical="center" readingOrder="1"/>
    </xf>
    <xf numFmtId="0" fontId="18" fillId="3" borderId="6" xfId="0" applyFont="1" applyFill="1" applyBorder="1" applyAlignment="1">
      <alignment horizontal="center" vertical="center" readingOrder="1"/>
    </xf>
    <xf numFmtId="0" fontId="18" fillId="3" borderId="13" xfId="0" applyFont="1" applyFill="1" applyBorder="1" applyAlignment="1">
      <alignment horizontal="center" vertical="center" readingOrder="1"/>
    </xf>
    <xf numFmtId="3" fontId="18" fillId="0" borderId="2" xfId="0" applyNumberFormat="1" applyFont="1" applyBorder="1" applyAlignment="1">
      <alignment horizontal="center" vertical="center" readingOrder="1"/>
    </xf>
    <xf numFmtId="3" fontId="18" fillId="0" borderId="3" xfId="0" applyNumberFormat="1" applyFont="1" applyBorder="1" applyAlignment="1">
      <alignment horizontal="center" vertical="center" readingOrder="1"/>
    </xf>
    <xf numFmtId="3" fontId="18" fillId="0" borderId="11" xfId="0" applyNumberFormat="1" applyFont="1" applyBorder="1" applyAlignment="1">
      <alignment horizontal="center" vertical="center" readingOrder="1"/>
    </xf>
    <xf numFmtId="0" fontId="39" fillId="3" borderId="0" xfId="0" applyFont="1" applyFill="1"/>
    <xf numFmtId="0" fontId="28" fillId="4" borderId="0" xfId="0" applyFont="1" applyFill="1" applyAlignment="1">
      <alignment vertical="center" readingOrder="1"/>
    </xf>
    <xf numFmtId="0" fontId="40" fillId="2" borderId="0" xfId="40" applyFont="1" applyFill="1" applyBorder="1" applyAlignment="1">
      <alignment horizontal="left" vertical="center" wrapText="1" readingOrder="1"/>
    </xf>
    <xf numFmtId="0" fontId="41" fillId="2" borderId="0" xfId="40" applyFont="1" applyFill="1" applyBorder="1" applyAlignment="1">
      <alignment horizontal="left" vertical="center" readingOrder="1"/>
    </xf>
    <xf numFmtId="0" fontId="42" fillId="3" borderId="0" xfId="0" applyFont="1" applyFill="1"/>
    <xf numFmtId="3" fontId="22" fillId="2" borderId="6" xfId="0" applyNumberFormat="1" applyFont="1" applyFill="1" applyBorder="1" applyAlignment="1">
      <alignment horizontal="center" vertical="center" wrapText="1" readingOrder="1"/>
    </xf>
    <xf numFmtId="3" fontId="22" fillId="2" borderId="5" xfId="0" applyNumberFormat="1" applyFont="1" applyFill="1" applyBorder="1" applyAlignment="1">
      <alignment horizontal="center" vertical="center" wrapText="1" readingOrder="1"/>
    </xf>
    <xf numFmtId="3" fontId="23" fillId="2" borderId="6" xfId="0" applyNumberFormat="1" applyFont="1" applyFill="1" applyBorder="1" applyAlignment="1">
      <alignment horizontal="center" vertical="center" wrapText="1" readingOrder="1"/>
    </xf>
    <xf numFmtId="3" fontId="23" fillId="2" borderId="7" xfId="0" applyNumberFormat="1" applyFont="1" applyFill="1" applyBorder="1" applyAlignment="1">
      <alignment horizontal="center" vertical="center" wrapText="1" readingOrder="1"/>
    </xf>
    <xf numFmtId="3" fontId="17" fillId="2" borderId="5" xfId="0" applyNumberFormat="1" applyFont="1" applyFill="1" applyBorder="1" applyAlignment="1">
      <alignment horizontal="center" vertical="center" readingOrder="1"/>
    </xf>
    <xf numFmtId="3" fontId="17" fillId="2" borderId="6" xfId="0" applyNumberFormat="1" applyFont="1" applyFill="1" applyBorder="1" applyAlignment="1">
      <alignment horizontal="center" vertical="center" readingOrder="1"/>
    </xf>
    <xf numFmtId="3" fontId="17" fillId="2" borderId="13" xfId="0" applyNumberFormat="1" applyFont="1" applyFill="1" applyBorder="1" applyAlignment="1">
      <alignment horizontal="center" vertical="center" readingOrder="1"/>
    </xf>
    <xf numFmtId="0" fontId="22" fillId="2" borderId="5" xfId="0" applyFont="1" applyFill="1" applyBorder="1" applyAlignment="1">
      <alignment horizontal="left" vertical="center" readingOrder="1"/>
    </xf>
    <xf numFmtId="3" fontId="18" fillId="3" borderId="20" xfId="0" applyNumberFormat="1" applyFont="1" applyFill="1" applyBorder="1" applyAlignment="1">
      <alignment horizontal="center" vertical="center" readingOrder="1"/>
    </xf>
    <xf numFmtId="3" fontId="18" fillId="3" borderId="21" xfId="0" applyNumberFormat="1" applyFont="1" applyFill="1" applyBorder="1" applyAlignment="1">
      <alignment horizontal="center" vertical="center" readingOrder="1"/>
    </xf>
    <xf numFmtId="0" fontId="18" fillId="3" borderId="21" xfId="0" applyFont="1" applyFill="1" applyBorder="1" applyAlignment="1">
      <alignment horizontal="center" vertical="center" readingOrder="1"/>
    </xf>
    <xf numFmtId="3" fontId="17" fillId="2" borderId="21" xfId="0" applyNumberFormat="1" applyFont="1" applyFill="1" applyBorder="1" applyAlignment="1">
      <alignment horizontal="center" vertical="center" readingOrder="1"/>
    </xf>
    <xf numFmtId="3" fontId="18" fillId="0" borderId="20" xfId="0" applyNumberFormat="1" applyFont="1" applyBorder="1" applyAlignment="1">
      <alignment horizontal="center" vertical="center" readingOrder="1"/>
    </xf>
    <xf numFmtId="0" fontId="37" fillId="3" borderId="0" xfId="0" applyFont="1" applyFill="1" applyBorder="1" applyAlignment="1">
      <alignment horizontal="left" vertical="center" readingOrder="1"/>
    </xf>
    <xf numFmtId="0" fontId="43" fillId="3" borderId="19" xfId="0" applyFont="1" applyFill="1" applyBorder="1" applyAlignment="1">
      <alignment horizontal="left" vertical="center" readingOrder="1"/>
    </xf>
    <xf numFmtId="164" fontId="24" fillId="3" borderId="5" xfId="0" applyNumberFormat="1" applyFont="1" applyFill="1" applyBorder="1" applyAlignment="1">
      <alignment horizontal="center" vertical="center" wrapText="1" readingOrder="1"/>
    </xf>
    <xf numFmtId="164" fontId="24" fillId="3" borderId="6" xfId="0" applyNumberFormat="1" applyFont="1" applyFill="1" applyBorder="1" applyAlignment="1">
      <alignment horizontal="center" vertical="center" wrapText="1" readingOrder="1"/>
    </xf>
    <xf numFmtId="9" fontId="24" fillId="3" borderId="7" xfId="0" applyNumberFormat="1" applyFont="1" applyFill="1" applyBorder="1" applyAlignment="1">
      <alignment horizontal="center" vertical="center" wrapText="1" readingOrder="1"/>
    </xf>
    <xf numFmtId="0" fontId="40" fillId="3" borderId="0" xfId="40" applyFont="1" applyFill="1"/>
    <xf numFmtId="0" fontId="40" fillId="3" borderId="0" xfId="40" applyFont="1" applyFill="1" applyBorder="1" applyAlignment="1">
      <alignment horizontal="left" vertical="center" readingOrder="1"/>
    </xf>
    <xf numFmtId="0" fontId="38" fillId="3" borderId="0" xfId="0" applyFont="1" applyFill="1" applyBorder="1" applyAlignment="1">
      <alignment horizontal="left" vertical="center" readingOrder="1"/>
    </xf>
    <xf numFmtId="0" fontId="0" fillId="3" borderId="0" xfId="0" applyFont="1" applyFill="1"/>
    <xf numFmtId="0" fontId="25" fillId="3" borderId="19" xfId="0" applyFont="1" applyFill="1" applyBorder="1" applyAlignment="1">
      <alignment horizontal="left" vertical="center" readingOrder="1"/>
    </xf>
    <xf numFmtId="0" fontId="0" fillId="3" borderId="19" xfId="0" applyFont="1" applyFill="1" applyBorder="1"/>
    <xf numFmtId="0" fontId="30" fillId="4" borderId="0" xfId="0" applyFont="1" applyFill="1" applyBorder="1" applyAlignment="1">
      <alignment horizontal="left" vertical="center" wrapText="1" readingOrder="1"/>
    </xf>
    <xf numFmtId="49" fontId="30" fillId="4" borderId="0" xfId="0" applyNumberFormat="1" applyFont="1" applyFill="1" applyBorder="1" applyAlignment="1">
      <alignment horizontal="center" vertical="center" wrapText="1" readingOrder="1"/>
    </xf>
    <xf numFmtId="3" fontId="17" fillId="2" borderId="5" xfId="0" applyNumberFormat="1" applyFont="1" applyFill="1" applyBorder="1" applyAlignment="1">
      <alignment horizontal="center" vertical="center" wrapText="1" readingOrder="1"/>
    </xf>
    <xf numFmtId="3" fontId="18" fillId="3" borderId="22" xfId="0" applyNumberFormat="1" applyFont="1" applyFill="1" applyBorder="1" applyAlignment="1">
      <alignment horizontal="center" vertical="center" readingOrder="1"/>
    </xf>
    <xf numFmtId="0" fontId="30" fillId="4" borderId="0" xfId="0" applyFont="1" applyFill="1" applyBorder="1" applyAlignment="1">
      <alignment horizontal="center" vertical="center" wrapText="1" readingOrder="1"/>
    </xf>
    <xf numFmtId="0" fontId="21" fillId="3" borderId="14" xfId="0" applyFont="1" applyFill="1" applyBorder="1" applyAlignment="1">
      <alignment horizontal="left" vertical="center" wrapText="1" readingOrder="1"/>
    </xf>
    <xf numFmtId="3" fontId="21" fillId="3" borderId="16" xfId="0" applyNumberFormat="1" applyFont="1" applyFill="1" applyBorder="1" applyAlignment="1">
      <alignment horizontal="center" vertical="center" wrapText="1" readingOrder="1"/>
    </xf>
    <xf numFmtId="3" fontId="21" fillId="3" borderId="14" xfId="0" applyNumberFormat="1" applyFont="1" applyFill="1" applyBorder="1" applyAlignment="1">
      <alignment horizontal="center" vertical="center" wrapText="1" readingOrder="1"/>
    </xf>
    <xf numFmtId="3" fontId="24" fillId="3" borderId="16" xfId="0" applyNumberFormat="1" applyFont="1" applyFill="1" applyBorder="1" applyAlignment="1">
      <alignment horizontal="center" vertical="center" wrapText="1" readingOrder="1"/>
    </xf>
    <xf numFmtId="3" fontId="24" fillId="3" borderId="15" xfId="0" applyNumberFormat="1" applyFont="1" applyFill="1" applyBorder="1" applyAlignment="1">
      <alignment horizontal="center" vertical="center" wrapText="1" readingOrder="1"/>
    </xf>
    <xf numFmtId="14" fontId="30" fillId="4" borderId="0" xfId="0" applyNumberFormat="1" applyFont="1" applyFill="1" applyBorder="1" applyAlignment="1">
      <alignment horizontal="center" vertical="center" wrapText="1" readingOrder="1"/>
    </xf>
    <xf numFmtId="3" fontId="18" fillId="3" borderId="16" xfId="0" applyNumberFormat="1" applyFont="1" applyFill="1" applyBorder="1" applyAlignment="1">
      <alignment horizontal="center" vertical="center" wrapText="1" readingOrder="1"/>
    </xf>
    <xf numFmtId="3" fontId="21" fillId="0" borderId="14" xfId="0" applyNumberFormat="1" applyFont="1" applyBorder="1" applyAlignment="1">
      <alignment horizontal="center" vertical="center" wrapText="1" readingOrder="1"/>
    </xf>
    <xf numFmtId="3" fontId="21" fillId="0" borderId="16" xfId="0" applyNumberFormat="1" applyFont="1" applyBorder="1" applyAlignment="1">
      <alignment horizontal="center" vertical="center" wrapText="1" readingOrder="1"/>
    </xf>
    <xf numFmtId="3" fontId="21" fillId="0" borderId="15" xfId="0" applyNumberFormat="1" applyFont="1" applyBorder="1" applyAlignment="1">
      <alignment horizontal="center" vertical="center" wrapText="1" readingOrder="1"/>
    </xf>
    <xf numFmtId="3" fontId="24" fillId="0" borderId="14" xfId="0" applyNumberFormat="1" applyFont="1" applyBorder="1" applyAlignment="1">
      <alignment horizontal="center" vertical="center" wrapText="1" readingOrder="1"/>
    </xf>
    <xf numFmtId="3" fontId="24" fillId="0" borderId="16" xfId="0" applyNumberFormat="1" applyFont="1" applyBorder="1" applyAlignment="1">
      <alignment horizontal="center" vertical="center" wrapText="1" readingOrder="1"/>
    </xf>
    <xf numFmtId="3" fontId="24" fillId="0" borderId="15" xfId="0" applyNumberFormat="1" applyFont="1" applyBorder="1" applyAlignment="1">
      <alignment horizontal="center" vertical="center" wrapText="1" readingOrder="1"/>
    </xf>
    <xf numFmtId="0" fontId="32" fillId="4" borderId="0" xfId="0" applyFont="1" applyFill="1" applyBorder="1" applyAlignment="1">
      <alignment horizontal="center" vertical="center" wrapText="1" readingOrder="1"/>
    </xf>
    <xf numFmtId="0" fontId="29" fillId="4" borderId="0" xfId="0" applyFont="1" applyFill="1" applyAlignment="1"/>
    <xf numFmtId="0" fontId="32" fillId="4" borderId="0" xfId="0" applyFont="1" applyFill="1" applyBorder="1" applyAlignment="1">
      <alignment horizontal="center" readingOrder="1"/>
    </xf>
    <xf numFmtId="0" fontId="44" fillId="4" borderId="0" xfId="0" applyFont="1" applyFill="1"/>
    <xf numFmtId="0" fontId="31" fillId="4" borderId="0" xfId="0" applyFont="1" applyFill="1" applyBorder="1" applyAlignment="1">
      <alignment horizontal="left" vertical="center" wrapText="1" readingOrder="1"/>
    </xf>
    <xf numFmtId="0" fontId="0" fillId="3" borderId="0" xfId="0" applyFill="1" applyAlignment="1">
      <alignment vertical="top"/>
    </xf>
    <xf numFmtId="0" fontId="27" fillId="3" borderId="0" xfId="0" applyFont="1" applyFill="1" applyAlignment="1">
      <alignment vertical="top"/>
    </xf>
    <xf numFmtId="0" fontId="27" fillId="3" borderId="0" xfId="0" applyFont="1" applyFill="1" applyAlignment="1">
      <alignment horizontal="fill" vertical="top"/>
    </xf>
    <xf numFmtId="0" fontId="0" fillId="3" borderId="0" xfId="0" applyFill="1" applyAlignment="1">
      <alignment horizontal="fill" vertical="top"/>
    </xf>
    <xf numFmtId="0" fontId="35" fillId="3" borderId="0" xfId="0" applyFont="1" applyFill="1"/>
    <xf numFmtId="0" fontId="29" fillId="3" borderId="0" xfId="0" quotePrefix="1" applyFont="1" applyFill="1"/>
    <xf numFmtId="0" fontId="36" fillId="3" borderId="0" xfId="40" applyFont="1" applyFill="1"/>
    <xf numFmtId="0" fontId="15" fillId="3" borderId="1" xfId="0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vertical="center" readingOrder="1"/>
    </xf>
    <xf numFmtId="3" fontId="24" fillId="3" borderId="26" xfId="0" applyNumberFormat="1" applyFont="1" applyFill="1" applyBorder="1" applyAlignment="1">
      <alignment horizontal="center" vertical="center" wrapText="1" readingOrder="1"/>
    </xf>
    <xf numFmtId="3" fontId="24" fillId="3" borderId="27" xfId="0" applyNumberFormat="1" applyFont="1" applyFill="1" applyBorder="1" applyAlignment="1">
      <alignment horizontal="center" vertical="center" wrapText="1" readingOrder="1"/>
    </xf>
    <xf numFmtId="3" fontId="23" fillId="2" borderId="27" xfId="0" applyNumberFormat="1" applyFont="1" applyFill="1" applyBorder="1" applyAlignment="1">
      <alignment horizontal="center" vertical="center" wrapText="1" readingOrder="1"/>
    </xf>
    <xf numFmtId="3" fontId="24" fillId="3" borderId="28" xfId="0" applyNumberFormat="1" applyFont="1" applyFill="1" applyBorder="1" applyAlignment="1">
      <alignment horizontal="center" vertical="center" wrapText="1" readingOrder="1"/>
    </xf>
    <xf numFmtId="0" fontId="24" fillId="3" borderId="27" xfId="0" applyFont="1" applyFill="1" applyBorder="1" applyAlignment="1">
      <alignment horizontal="center" vertical="center" wrapText="1" readingOrder="1"/>
    </xf>
    <xf numFmtId="3" fontId="24" fillId="0" borderId="24" xfId="0" applyNumberFormat="1" applyFont="1" applyBorder="1" applyAlignment="1">
      <alignment horizontal="center" vertical="center" wrapText="1" readingOrder="1"/>
    </xf>
    <xf numFmtId="164" fontId="24" fillId="0" borderId="25" xfId="0" applyNumberFormat="1" applyFont="1" applyBorder="1" applyAlignment="1">
      <alignment horizontal="center" vertical="center" wrapText="1" readingOrder="1"/>
    </xf>
    <xf numFmtId="164" fontId="24" fillId="3" borderId="25" xfId="0" applyNumberFormat="1" applyFont="1" applyFill="1" applyBorder="1" applyAlignment="1">
      <alignment horizontal="center" vertical="center" wrapText="1" readingOrder="1"/>
    </xf>
    <xf numFmtId="3" fontId="24" fillId="0" borderId="25" xfId="0" applyNumberFormat="1" applyFont="1" applyBorder="1" applyAlignment="1">
      <alignment horizontal="center" vertical="center" wrapText="1" readingOrder="1"/>
    </xf>
    <xf numFmtId="9" fontId="24" fillId="0" borderId="25" xfId="0" applyNumberFormat="1" applyFont="1" applyBorder="1" applyAlignment="1">
      <alignment horizontal="center" vertical="center" wrapText="1" readingOrder="1"/>
    </xf>
    <xf numFmtId="3" fontId="24" fillId="0" borderId="26" xfId="0" applyNumberFormat="1" applyFont="1" applyBorder="1" applyAlignment="1">
      <alignment horizontal="center" vertical="center" wrapText="1" readingOrder="1"/>
    </xf>
    <xf numFmtId="164" fontId="24" fillId="0" borderId="27" xfId="0" applyNumberFormat="1" applyFont="1" applyBorder="1" applyAlignment="1">
      <alignment horizontal="center" vertical="center" wrapText="1" readingOrder="1"/>
    </xf>
    <xf numFmtId="3" fontId="24" fillId="0" borderId="27" xfId="0" applyNumberFormat="1" applyFont="1" applyBorder="1" applyAlignment="1">
      <alignment horizontal="center" vertical="center" wrapText="1" readingOrder="1"/>
    </xf>
    <xf numFmtId="164" fontId="24" fillId="3" borderId="27" xfId="0" applyNumberFormat="1" applyFont="1" applyFill="1" applyBorder="1" applyAlignment="1">
      <alignment horizontal="center" vertical="center" wrapText="1" readingOrder="1"/>
    </xf>
    <xf numFmtId="9" fontId="24" fillId="0" borderId="27" xfId="0" applyNumberFormat="1" applyFont="1" applyBorder="1" applyAlignment="1">
      <alignment horizontal="center" vertical="center" wrapText="1" readingOrder="1"/>
    </xf>
    <xf numFmtId="3" fontId="18" fillId="0" borderId="27" xfId="0" applyNumberFormat="1" applyFont="1" applyBorder="1" applyAlignment="1">
      <alignment horizontal="center" vertical="center" wrapText="1" readingOrder="1"/>
    </xf>
    <xf numFmtId="3" fontId="18" fillId="0" borderId="28" xfId="0" applyNumberFormat="1" applyFont="1" applyBorder="1" applyAlignment="1">
      <alignment horizontal="center" vertical="center" wrapText="1" readingOrder="1"/>
    </xf>
    <xf numFmtId="3" fontId="21" fillId="0" borderId="26" xfId="0" applyNumberFormat="1" applyFont="1" applyBorder="1" applyAlignment="1">
      <alignment horizontal="center" vertical="center" wrapText="1" readingOrder="1"/>
    </xf>
    <xf numFmtId="164" fontId="21" fillId="0" borderId="27" xfId="0" applyNumberFormat="1" applyFont="1" applyBorder="1" applyAlignment="1">
      <alignment horizontal="center" vertical="center" wrapText="1" readingOrder="1"/>
    </xf>
    <xf numFmtId="164" fontId="21" fillId="3" borderId="27" xfId="0" applyNumberFormat="1" applyFont="1" applyFill="1" applyBorder="1" applyAlignment="1">
      <alignment horizontal="center" vertical="center" wrapText="1" readingOrder="1"/>
    </xf>
    <xf numFmtId="3" fontId="21" fillId="0" borderId="27" xfId="0" applyNumberFormat="1" applyFont="1" applyBorder="1" applyAlignment="1">
      <alignment horizontal="center" vertical="center" wrapText="1" readingOrder="1"/>
    </xf>
    <xf numFmtId="0" fontId="21" fillId="0" borderId="27" xfId="0" applyFont="1" applyBorder="1" applyAlignment="1">
      <alignment horizontal="center" vertical="center" wrapText="1" readingOrder="1"/>
    </xf>
    <xf numFmtId="3" fontId="21" fillId="0" borderId="29" xfId="0" applyNumberFormat="1" applyFont="1" applyBorder="1" applyAlignment="1">
      <alignment horizontal="center" vertical="center" wrapText="1" readingOrder="1"/>
    </xf>
    <xf numFmtId="2" fontId="21" fillId="3" borderId="27" xfId="0" applyNumberFormat="1" applyFont="1" applyFill="1" applyBorder="1" applyAlignment="1">
      <alignment horizontal="center" vertical="center" wrapText="1" readingOrder="1"/>
    </xf>
    <xf numFmtId="3" fontId="18" fillId="3" borderId="30" xfId="0" applyNumberFormat="1" applyFont="1" applyFill="1" applyBorder="1" applyAlignment="1">
      <alignment horizontal="center" vertical="center" readingOrder="1"/>
    </xf>
    <xf numFmtId="3" fontId="18" fillId="3" borderId="31" xfId="0" applyNumberFormat="1" applyFont="1" applyFill="1" applyBorder="1" applyAlignment="1">
      <alignment horizontal="center" vertical="center" readingOrder="1"/>
    </xf>
    <xf numFmtId="3" fontId="17" fillId="2" borderId="31" xfId="0" applyNumberFormat="1" applyFont="1" applyFill="1" applyBorder="1" applyAlignment="1">
      <alignment horizontal="center" vertical="center" readingOrder="1"/>
    </xf>
    <xf numFmtId="3" fontId="18" fillId="3" borderId="32" xfId="0" applyNumberFormat="1" applyFont="1" applyFill="1" applyBorder="1" applyAlignment="1">
      <alignment horizontal="center" vertical="center" readingOrder="1"/>
    </xf>
    <xf numFmtId="0" fontId="18" fillId="3" borderId="31" xfId="0" applyFont="1" applyFill="1" applyBorder="1" applyAlignment="1">
      <alignment horizontal="center" vertical="center" readingOrder="1"/>
    </xf>
    <xf numFmtId="3" fontId="18" fillId="0" borderId="32" xfId="0" applyNumberFormat="1" applyFont="1" applyBorder="1" applyAlignment="1">
      <alignment horizontal="center" vertical="center" readingOrder="1"/>
    </xf>
    <xf numFmtId="3" fontId="18" fillId="3" borderId="33" xfId="0" applyNumberFormat="1" applyFont="1" applyFill="1" applyBorder="1" applyAlignment="1">
      <alignment horizontal="center" vertical="center" readingOrder="1"/>
    </xf>
    <xf numFmtId="3" fontId="17" fillId="2" borderId="34" xfId="0" applyNumberFormat="1" applyFont="1" applyFill="1" applyBorder="1" applyAlignment="1">
      <alignment horizontal="center" vertical="center" readingOrder="1"/>
    </xf>
    <xf numFmtId="3" fontId="18" fillId="0" borderId="26" xfId="0" applyNumberFormat="1" applyFont="1" applyBorder="1" applyAlignment="1">
      <alignment horizontal="center" vertical="center" wrapText="1" readingOrder="1"/>
    </xf>
    <xf numFmtId="3" fontId="17" fillId="2" borderId="27" xfId="0" applyNumberFormat="1" applyFont="1" applyFill="1" applyBorder="1" applyAlignment="1">
      <alignment horizontal="center" vertical="center" wrapText="1" readingOrder="1"/>
    </xf>
    <xf numFmtId="3" fontId="18" fillId="3" borderId="27" xfId="0" applyNumberFormat="1" applyFont="1" applyFill="1" applyBorder="1" applyAlignment="1">
      <alignment horizontal="center" vertical="center" wrapText="1" readingOrder="1"/>
    </xf>
    <xf numFmtId="0" fontId="0" fillId="3" borderId="0" xfId="0" applyFill="1" applyBorder="1" applyAlignment="1"/>
    <xf numFmtId="0" fontId="15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 readingOrder="1"/>
    </xf>
    <xf numFmtId="3" fontId="18" fillId="3" borderId="28" xfId="0" applyNumberFormat="1" applyFont="1" applyFill="1" applyBorder="1" applyAlignment="1">
      <alignment horizontal="center" vertical="center" wrapText="1" readingOrder="1"/>
    </xf>
    <xf numFmtId="3" fontId="18" fillId="3" borderId="0" xfId="0" applyNumberFormat="1" applyFont="1" applyFill="1" applyBorder="1" applyAlignment="1">
      <alignment horizontal="center" vertical="center" wrapText="1" readingOrder="1"/>
    </xf>
    <xf numFmtId="3" fontId="17" fillId="3" borderId="0" xfId="0" applyNumberFormat="1" applyFont="1" applyFill="1" applyBorder="1" applyAlignment="1">
      <alignment horizontal="center" vertical="center" wrapText="1" readingOrder="1"/>
    </xf>
    <xf numFmtId="0" fontId="38" fillId="3" borderId="0" xfId="0" applyFont="1" applyFill="1" applyBorder="1" applyAlignment="1">
      <alignment vertical="center" wrapText="1" readingOrder="1"/>
    </xf>
    <xf numFmtId="3" fontId="18" fillId="6" borderId="13" xfId="0" applyNumberFormat="1" applyFont="1" applyFill="1" applyBorder="1" applyAlignment="1">
      <alignment horizontal="center" vertical="center" readingOrder="1"/>
    </xf>
    <xf numFmtId="3" fontId="18" fillId="6" borderId="21" xfId="0" applyNumberFormat="1" applyFont="1" applyFill="1" applyBorder="1" applyAlignment="1">
      <alignment horizontal="center" vertical="center" readingOrder="1"/>
    </xf>
    <xf numFmtId="0" fontId="0" fillId="6" borderId="0" xfId="0" applyFill="1"/>
    <xf numFmtId="0" fontId="18" fillId="6" borderId="2" xfId="0" applyFont="1" applyFill="1" applyBorder="1" applyAlignment="1">
      <alignment horizontal="center" vertical="center" readingOrder="1"/>
    </xf>
    <xf numFmtId="3" fontId="18" fillId="6" borderId="11" xfId="0" applyNumberFormat="1" applyFont="1" applyFill="1" applyBorder="1" applyAlignment="1">
      <alignment horizontal="center" vertical="center" readingOrder="1"/>
    </xf>
    <xf numFmtId="3" fontId="18" fillId="6" borderId="32" xfId="0" applyNumberFormat="1" applyFont="1" applyFill="1" applyBorder="1" applyAlignment="1">
      <alignment horizontal="center" vertical="center" readingOrder="1"/>
    </xf>
    <xf numFmtId="3" fontId="18" fillId="6" borderId="20" xfId="0" applyNumberFormat="1" applyFont="1" applyFill="1" applyBorder="1" applyAlignment="1">
      <alignment horizontal="center" vertical="center" readingOrder="1"/>
    </xf>
    <xf numFmtId="0" fontId="21" fillId="6" borderId="5" xfId="0" applyFont="1" applyFill="1" applyBorder="1" applyAlignment="1">
      <alignment horizontal="left" vertical="center" wrapText="1" readingOrder="1"/>
    </xf>
    <xf numFmtId="0" fontId="21" fillId="7" borderId="5" xfId="0" applyFont="1" applyFill="1" applyBorder="1" applyAlignment="1">
      <alignment horizontal="left" vertical="center" readingOrder="1"/>
    </xf>
    <xf numFmtId="0" fontId="21" fillId="7" borderId="5" xfId="0" applyFont="1" applyFill="1" applyBorder="1" applyAlignment="1">
      <alignment horizontal="left" vertical="center" wrapText="1" readingOrder="1"/>
    </xf>
    <xf numFmtId="0" fontId="18" fillId="6" borderId="6" xfId="0" applyFont="1" applyFill="1" applyBorder="1" applyAlignment="1">
      <alignment horizontal="center" vertical="center" wrapText="1" readingOrder="1"/>
    </xf>
    <xf numFmtId="0" fontId="18" fillId="6" borderId="7" xfId="0" applyFont="1" applyFill="1" applyBorder="1" applyAlignment="1">
      <alignment horizontal="center" vertical="center" wrapText="1" readingOrder="1"/>
    </xf>
    <xf numFmtId="0" fontId="21" fillId="6" borderId="2" xfId="0" applyFont="1" applyFill="1" applyBorder="1" applyAlignment="1">
      <alignment horizontal="left" vertical="center" wrapText="1" readingOrder="1"/>
    </xf>
    <xf numFmtId="0" fontId="41" fillId="3" borderId="0" xfId="40" applyFont="1" applyFill="1" applyBorder="1" applyAlignment="1">
      <alignment horizontal="left" vertical="center" readingOrder="1"/>
    </xf>
    <xf numFmtId="9" fontId="24" fillId="3" borderId="5" xfId="0" applyNumberFormat="1" applyFont="1" applyFill="1" applyBorder="1" applyAlignment="1">
      <alignment horizontal="center" vertical="center" wrapText="1" readingOrder="1"/>
    </xf>
    <xf numFmtId="0" fontId="18" fillId="8" borderId="2" xfId="0" applyFont="1" applyFill="1" applyBorder="1" applyAlignment="1">
      <alignment horizontal="center" vertical="center" readingOrder="1"/>
    </xf>
    <xf numFmtId="3" fontId="24" fillId="3" borderId="14" xfId="0" applyNumberFormat="1" applyFont="1" applyFill="1" applyBorder="1" applyAlignment="1">
      <alignment horizontal="center" vertical="center" wrapText="1" readingOrder="1"/>
    </xf>
    <xf numFmtId="3" fontId="24" fillId="3" borderId="5" xfId="0" applyNumberFormat="1" applyFont="1" applyFill="1" applyBorder="1" applyAlignment="1">
      <alignment horizontal="center" vertical="center" wrapText="1" readingOrder="1"/>
    </xf>
    <xf numFmtId="0" fontId="18" fillId="3" borderId="16" xfId="0" applyFont="1" applyFill="1" applyBorder="1" applyAlignment="1">
      <alignment horizontal="center" vertical="center" wrapText="1" readingOrder="1"/>
    </xf>
    <xf numFmtId="0" fontId="18" fillId="3" borderId="15" xfId="0" applyFont="1" applyFill="1" applyBorder="1" applyAlignment="1">
      <alignment horizontal="center" vertical="center" wrapText="1" readingOrder="1"/>
    </xf>
    <xf numFmtId="0" fontId="28" fillId="4" borderId="35" xfId="0" applyFont="1" applyFill="1" applyBorder="1" applyAlignment="1">
      <alignment horizontal="left" vertical="center" readingOrder="1"/>
    </xf>
    <xf numFmtId="0" fontId="29" fillId="4" borderId="36" xfId="0" applyFont="1" applyFill="1" applyBorder="1"/>
    <xf numFmtId="0" fontId="29" fillId="4" borderId="37" xfId="0" applyFont="1" applyFill="1" applyBorder="1"/>
    <xf numFmtId="0" fontId="30" fillId="4" borderId="38" xfId="0" applyFont="1" applyFill="1" applyBorder="1" applyAlignment="1">
      <alignment horizontal="left" vertical="center" wrapText="1" readingOrder="1"/>
    </xf>
    <xf numFmtId="14" fontId="30" fillId="4" borderId="39" xfId="0" quotePrefix="1" applyNumberFormat="1" applyFont="1" applyFill="1" applyBorder="1" applyAlignment="1">
      <alignment horizontal="center" vertical="center" wrapText="1" readingOrder="1"/>
    </xf>
    <xf numFmtId="14" fontId="30" fillId="4" borderId="39" xfId="0" applyNumberFormat="1" applyFont="1" applyFill="1" applyBorder="1" applyAlignment="1">
      <alignment horizontal="center" vertical="center" wrapText="1" readingOrder="1"/>
    </xf>
    <xf numFmtId="14" fontId="30" fillId="4" borderId="40" xfId="0" applyNumberFormat="1" applyFont="1" applyFill="1" applyBorder="1" applyAlignment="1">
      <alignment horizontal="center" vertical="center" wrapText="1" readingOrder="1"/>
    </xf>
    <xf numFmtId="0" fontId="28" fillId="4" borderId="36" xfId="0" applyFont="1" applyFill="1" applyBorder="1" applyAlignment="1">
      <alignment horizontal="left" vertical="center" readingOrder="1"/>
    </xf>
    <xf numFmtId="0" fontId="0" fillId="3" borderId="36" xfId="0" applyFill="1" applyBorder="1"/>
    <xf numFmtId="0" fontId="30" fillId="4" borderId="39" xfId="0" applyFont="1" applyFill="1" applyBorder="1" applyAlignment="1">
      <alignment horizontal="center" vertical="center" wrapText="1" readingOrder="1"/>
    </xf>
    <xf numFmtId="0" fontId="0" fillId="3" borderId="39" xfId="0" applyFill="1" applyBorder="1"/>
    <xf numFmtId="0" fontId="28" fillId="4" borderId="35" xfId="0" applyFont="1" applyFill="1" applyBorder="1" applyAlignment="1">
      <alignment horizontal="left" vertical="center" wrapText="1" readingOrder="1"/>
    </xf>
    <xf numFmtId="0" fontId="28" fillId="4" borderId="36" xfId="0" applyFont="1" applyFill="1" applyBorder="1" applyAlignment="1">
      <alignment horizontal="left" vertical="center" wrapText="1" readingOrder="1"/>
    </xf>
    <xf numFmtId="49" fontId="30" fillId="4" borderId="39" xfId="0" applyNumberFormat="1" applyFont="1" applyFill="1" applyBorder="1" applyAlignment="1">
      <alignment horizontal="center" vertical="center" wrapText="1" readingOrder="1"/>
    </xf>
    <xf numFmtId="49" fontId="30" fillId="4" borderId="40" xfId="0" applyNumberFormat="1" applyFont="1" applyFill="1" applyBorder="1" applyAlignment="1">
      <alignment horizontal="center" vertical="center" wrapText="1" readingOrder="1"/>
    </xf>
    <xf numFmtId="0" fontId="32" fillId="4" borderId="36" xfId="0" applyFont="1" applyFill="1" applyBorder="1" applyAlignment="1">
      <alignment horizontal="center" readingOrder="1"/>
    </xf>
    <xf numFmtId="0" fontId="29" fillId="4" borderId="36" xfId="0" applyFont="1" applyFill="1" applyBorder="1" applyAlignment="1"/>
    <xf numFmtId="0" fontId="29" fillId="4" borderId="37" xfId="0" applyFont="1" applyFill="1" applyBorder="1" applyAlignment="1"/>
    <xf numFmtId="0" fontId="32" fillId="4" borderId="39" xfId="0" applyFont="1" applyFill="1" applyBorder="1" applyAlignment="1">
      <alignment horizontal="center" vertical="center" wrapText="1" readingOrder="1"/>
    </xf>
    <xf numFmtId="0" fontId="32" fillId="4" borderId="40" xfId="0" applyFont="1" applyFill="1" applyBorder="1" applyAlignment="1">
      <alignment horizontal="center" vertical="center" wrapText="1" readingOrder="1"/>
    </xf>
    <xf numFmtId="164" fontId="21" fillId="3" borderId="5" xfId="0" applyNumberFormat="1" applyFont="1" applyFill="1" applyBorder="1" applyAlignment="1">
      <alignment horizontal="center" vertical="center" wrapText="1" readingOrder="1"/>
    </xf>
    <xf numFmtId="3" fontId="21" fillId="3" borderId="7" xfId="0" applyNumberFormat="1" applyFont="1" applyFill="1" applyBorder="1" applyAlignment="1">
      <alignment horizontal="center" vertical="center" wrapText="1" readingOrder="1"/>
    </xf>
    <xf numFmtId="9" fontId="21" fillId="3" borderId="5" xfId="0" applyNumberFormat="1" applyFont="1" applyFill="1" applyBorder="1" applyAlignment="1">
      <alignment horizontal="center" vertical="center" wrapText="1" readingOrder="1"/>
    </xf>
    <xf numFmtId="9" fontId="21" fillId="3" borderId="6" xfId="0" applyNumberFormat="1" applyFont="1" applyFill="1" applyBorder="1" applyAlignment="1">
      <alignment horizontal="center" vertical="center" wrapText="1" readingOrder="1"/>
    </xf>
    <xf numFmtId="0" fontId="21" fillId="3" borderId="7" xfId="0" applyFont="1" applyFill="1" applyBorder="1" applyAlignment="1">
      <alignment horizontal="center" vertical="center" wrapText="1" readingOrder="1"/>
    </xf>
    <xf numFmtId="164" fontId="21" fillId="3" borderId="6" xfId="0" applyNumberFormat="1" applyFont="1" applyFill="1" applyBorder="1" applyAlignment="1">
      <alignment horizontal="center" vertical="center" wrapText="1" readingOrder="1"/>
    </xf>
    <xf numFmtId="3" fontId="21" fillId="0" borderId="6" xfId="0" applyNumberFormat="1" applyFont="1" applyBorder="1" applyAlignment="1">
      <alignment horizontal="center" vertical="center" wrapText="1" readingOrder="1"/>
    </xf>
    <xf numFmtId="3" fontId="21" fillId="3" borderId="41" xfId="0" applyNumberFormat="1" applyFont="1" applyFill="1" applyBorder="1" applyAlignment="1">
      <alignment horizontal="center" vertical="center" wrapText="1" readingOrder="1"/>
    </xf>
    <xf numFmtId="3" fontId="18" fillId="0" borderId="41" xfId="0" applyNumberFormat="1" applyFont="1" applyBorder="1" applyAlignment="1">
      <alignment horizontal="center" vertical="center" wrapText="1" readingOrder="1"/>
    </xf>
    <xf numFmtId="3" fontId="18" fillId="0" borderId="6" xfId="0" applyNumberFormat="1" applyFont="1" applyBorder="1" applyAlignment="1">
      <alignment horizontal="center" vertical="center" wrapText="1" readingOrder="1"/>
    </xf>
    <xf numFmtId="3" fontId="18" fillId="0" borderId="3" xfId="0" applyNumberFormat="1" applyFont="1" applyBorder="1" applyAlignment="1">
      <alignment horizontal="center" vertical="center" wrapText="1" readingOrder="1"/>
    </xf>
    <xf numFmtId="0" fontId="58" fillId="0" borderId="0" xfId="64" applyFont="1" applyFill="1" applyAlignment="1"/>
    <xf numFmtId="0" fontId="45" fillId="0" borderId="0" xfId="64" applyFont="1" applyFill="1" applyAlignment="1">
      <alignment vertical="center"/>
    </xf>
    <xf numFmtId="0" fontId="1" fillId="0" borderId="0" xfId="64"/>
    <xf numFmtId="14" fontId="59" fillId="0" borderId="0" xfId="64" applyNumberFormat="1" applyFont="1" applyFill="1" applyAlignment="1"/>
    <xf numFmtId="0" fontId="45" fillId="0" borderId="0" xfId="64" applyFont="1"/>
    <xf numFmtId="0" fontId="46" fillId="5" borderId="0" xfId="64" applyFont="1" applyFill="1" applyAlignment="1">
      <alignment vertical="center"/>
    </xf>
    <xf numFmtId="0" fontId="47" fillId="5" borderId="0" xfId="64" applyFont="1" applyFill="1"/>
    <xf numFmtId="0" fontId="48" fillId="5" borderId="0" xfId="64" applyFont="1" applyFill="1"/>
    <xf numFmtId="0" fontId="48" fillId="0" borderId="0" xfId="64" applyFont="1" applyFill="1"/>
    <xf numFmtId="14" fontId="49" fillId="5" borderId="0" xfId="64" applyNumberFormat="1" applyFont="1" applyFill="1" applyAlignment="1">
      <alignment vertical="center"/>
    </xf>
    <xf numFmtId="0" fontId="48" fillId="0" borderId="0" xfId="64" applyFont="1"/>
    <xf numFmtId="0" fontId="50" fillId="0" borderId="0" xfId="64" applyFont="1" applyFill="1"/>
    <xf numFmtId="3" fontId="51" fillId="3" borderId="0" xfId="64" applyNumberFormat="1" applyFont="1" applyFill="1"/>
    <xf numFmtId="0" fontId="50" fillId="0" borderId="23" xfId="64" applyFont="1" applyFill="1" applyBorder="1"/>
    <xf numFmtId="3" fontId="51" fillId="3" borderId="23" xfId="65" applyNumberFormat="1" applyFont="1" applyFill="1" applyBorder="1"/>
    <xf numFmtId="3" fontId="51" fillId="3" borderId="23" xfId="64" applyNumberFormat="1" applyFont="1" applyFill="1" applyBorder="1"/>
    <xf numFmtId="0" fontId="50" fillId="0" borderId="0" xfId="64" applyFont="1" applyFill="1" applyAlignment="1">
      <alignment vertical="center"/>
    </xf>
    <xf numFmtId="164" fontId="51" fillId="3" borderId="0" xfId="65" applyNumberFormat="1" applyFont="1" applyFill="1" applyAlignment="1">
      <alignment horizontal="right" vertical="center"/>
    </xf>
    <xf numFmtId="164" fontId="51" fillId="3" borderId="0" xfId="65" applyNumberFormat="1" applyFont="1" applyFill="1" applyAlignment="1">
      <alignment vertical="center"/>
    </xf>
    <xf numFmtId="0" fontId="50" fillId="0" borderId="0" xfId="64" applyFont="1" applyFill="1" applyBorder="1"/>
    <xf numFmtId="0" fontId="45" fillId="3" borderId="0" xfId="64" applyFont="1" applyFill="1"/>
    <xf numFmtId="3" fontId="52" fillId="0" borderId="0" xfId="64" applyNumberFormat="1" applyFont="1" applyFill="1" applyAlignment="1">
      <alignment vertical="center"/>
    </xf>
    <xf numFmtId="0" fontId="45" fillId="0" borderId="0" xfId="64" applyFont="1" applyFill="1"/>
    <xf numFmtId="0" fontId="1" fillId="0" borderId="0" xfId="64" applyFill="1"/>
    <xf numFmtId="14" fontId="53" fillId="5" borderId="0" xfId="64" applyNumberFormat="1" applyFont="1" applyFill="1" applyAlignment="1">
      <alignment horizontal="right" vertical="center" wrapText="1"/>
    </xf>
    <xf numFmtId="3" fontId="51" fillId="0" borderId="0" xfId="64" applyNumberFormat="1" applyFont="1" applyFill="1"/>
    <xf numFmtId="0" fontId="1" fillId="3" borderId="0" xfId="64" applyFill="1"/>
    <xf numFmtId="164" fontId="51" fillId="3" borderId="0" xfId="65" applyNumberFormat="1" applyFont="1" applyFill="1"/>
    <xf numFmtId="0" fontId="54" fillId="0" borderId="0" xfId="64" applyFont="1" applyFill="1"/>
    <xf numFmtId="164" fontId="51" fillId="3" borderId="0" xfId="64" applyNumberFormat="1" applyFont="1" applyFill="1"/>
    <xf numFmtId="0" fontId="51" fillId="3" borderId="0" xfId="64" applyFont="1" applyFill="1"/>
    <xf numFmtId="0" fontId="53" fillId="5" borderId="0" xfId="64" applyFont="1" applyFill="1" applyAlignment="1">
      <alignment horizontal="right" vertical="center" wrapText="1"/>
    </xf>
    <xf numFmtId="0" fontId="55" fillId="0" borderId="0" xfId="64" applyFont="1" applyFill="1" applyAlignment="1">
      <alignment vertical="center"/>
    </xf>
    <xf numFmtId="0" fontId="56" fillId="0" borderId="0" xfId="64" applyFont="1" applyFill="1" applyAlignment="1">
      <alignment vertical="center"/>
    </xf>
    <xf numFmtId="0" fontId="52" fillId="0" borderId="0" xfId="64" applyFont="1" applyFill="1" applyAlignment="1">
      <alignment horizontal="right" vertical="center" wrapText="1"/>
    </xf>
    <xf numFmtId="0" fontId="57" fillId="0" borderId="0" xfId="64" applyFont="1"/>
    <xf numFmtId="0" fontId="27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8" fillId="3" borderId="0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wrapText="1"/>
    </xf>
    <xf numFmtId="0" fontId="49" fillId="5" borderId="0" xfId="64" applyFont="1" applyFill="1" applyAlignment="1">
      <alignment horizontal="center" vertical="center"/>
    </xf>
  </cellXfs>
  <cellStyles count="6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40" builtinId="8"/>
    <cellStyle name="Normal" xfId="0" builtinId="0"/>
    <cellStyle name="Normal 10" xfId="56"/>
    <cellStyle name="Normal 11" xfId="58"/>
    <cellStyle name="Normal 12" xfId="60"/>
    <cellStyle name="Normal 128 3" xfId="45"/>
    <cellStyle name="Normal 13" xfId="62"/>
    <cellStyle name="Normal 14" xfId="64"/>
    <cellStyle name="Normal 2" xfId="37"/>
    <cellStyle name="Normal 3" xfId="41"/>
    <cellStyle name="Normal 4" xfId="43"/>
    <cellStyle name="Normal 5" xfId="46"/>
    <cellStyle name="Normal 6" xfId="48"/>
    <cellStyle name="Normal 7" xfId="50"/>
    <cellStyle name="Normal 8" xfId="52"/>
    <cellStyle name="Normal 9" xfId="54"/>
    <cellStyle name="Percent" xfId="39" builtinId="5"/>
    <cellStyle name="Percent 10" xfId="57"/>
    <cellStyle name="Percent 11" xfId="59"/>
    <cellStyle name="Percent 12" xfId="61"/>
    <cellStyle name="Percent 13" xfId="63"/>
    <cellStyle name="Percent 14" xfId="65"/>
    <cellStyle name="Percent 2" xfId="38"/>
    <cellStyle name="Percent 3" xfId="42"/>
    <cellStyle name="Percent 4" xfId="44"/>
    <cellStyle name="Percent 5" xfId="47"/>
    <cellStyle name="Percent 6" xfId="49"/>
    <cellStyle name="Percent 7" xfId="51"/>
    <cellStyle name="Percent 8" xfId="53"/>
    <cellStyle name="Percent 9" xfId="55"/>
  </cellStyles>
  <dxfs count="0"/>
  <tableStyles count="0" defaultTableStyle="TableStyleMedium9" defaultPivotStyle="PivotStyleMedium7"/>
  <colors>
    <mruColors>
      <color rgb="FF00395A"/>
      <color rgb="FFC5CFD8"/>
      <color rgb="FF1E3C5A"/>
      <color rgb="FFFF8319"/>
      <color rgb="FF0C466B"/>
      <color rgb="FF0097AC"/>
      <color rgb="FFFFA25A"/>
      <color rgb="FF89A0AE"/>
      <color rgb="FF82826F"/>
      <color rgb="FF486D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1987455722913E-2"/>
          <c:y val="0.12126175833860275"/>
          <c:w val="0.57926253487654689"/>
          <c:h val="0.737819798072686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CAE"/>
              </a:solidFill>
            </c:spPr>
          </c:dPt>
          <c:dPt>
            <c:idx val="1"/>
            <c:bubble3D val="0"/>
            <c:spPr>
              <a:solidFill>
                <a:srgbClr val="002642"/>
              </a:solidFill>
              <a:ln>
                <a:solidFill>
                  <a:srgbClr val="002642"/>
                </a:solidFill>
              </a:ln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19879B"/>
              </a:solidFill>
            </c:spPr>
          </c:dPt>
          <c:dPt>
            <c:idx val="4"/>
            <c:bubble3D val="0"/>
            <c:spPr>
              <a:solidFill>
                <a:srgbClr val="FF6432"/>
              </a:solidFill>
            </c:spPr>
          </c:dPt>
          <c:dPt>
            <c:idx val="5"/>
            <c:bubble3D val="0"/>
            <c:spPr>
              <a:solidFill>
                <a:srgbClr val="E2E0D3">
                  <a:alpha val="74902"/>
                </a:srgbClr>
              </a:solidFill>
            </c:spPr>
          </c:dPt>
          <c:dPt>
            <c:idx val="6"/>
            <c:bubble3D val="0"/>
            <c:spPr>
              <a:solidFill>
                <a:srgbClr val="669CAE">
                  <a:alpha val="74902"/>
                </a:srgbClr>
              </a:solidFill>
            </c:spPr>
          </c:dPt>
          <c:dPt>
            <c:idx val="7"/>
            <c:bubble3D val="0"/>
            <c:spPr>
              <a:solidFill>
                <a:srgbClr val="19879B">
                  <a:alpha val="74902"/>
                </a:srgbClr>
              </a:solidFill>
            </c:spPr>
          </c:dPt>
          <c:dPt>
            <c:idx val="8"/>
            <c:bubble3D val="0"/>
            <c:spPr>
              <a:solidFill>
                <a:srgbClr val="FF6432">
                  <a:alpha val="50196"/>
                </a:srgbClr>
              </a:solidFill>
            </c:spPr>
          </c:dPt>
          <c:dPt>
            <c:idx val="9"/>
            <c:bubble3D val="0"/>
            <c:spPr>
              <a:solidFill>
                <a:srgbClr val="A8A8A8"/>
              </a:solidFill>
            </c:spPr>
          </c:dPt>
          <c:dPt>
            <c:idx val="10"/>
            <c:bubble3D val="0"/>
            <c:spPr>
              <a:solidFill>
                <a:srgbClr val="FFCA7F"/>
              </a:solidFill>
            </c:spPr>
          </c:dPt>
          <c:dLbls>
            <c:dLbl>
              <c:idx val="0"/>
              <c:layout>
                <c:manualLayout>
                  <c:x val="-9.3666091061980664E-2"/>
                  <c:y val="0.10256410256410256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608986913360268E-2"/>
                  <c:y val="-7.928711708239267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801233008057075E-2"/>
                  <c:y val="-0.13986013986013987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370737046942798E-2"/>
                  <c:y val="-0.11655011655011654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824285821405928E-2"/>
                  <c:y val="-5.5944055944055944E-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12%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8769595508649415E-2"/>
                  <c:y val="4.6616375750234019E-3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ysClr val="windowText" lastClr="000000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>
                        <a:solidFill>
                          <a:srgbClr val="525252"/>
                        </a:solidFill>
                      </a:rPr>
                      <a:t>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078791633221862E-2"/>
                  <c:y val="2.3309656223042048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52525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7645196448474906E-2"/>
                  <c:y val="0.10256410256410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6116157158779926E-3"/>
                  <c:y val="3.26340326340326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9174235738169885E-3"/>
                  <c:y val="1.86476515610373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4868829490229458E-2"/>
                  <c:y val="1.271369050896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('[1]Töluleg gögn'!$A$21:$A$22,'[1]Töluleg gögn'!$A$24:$A$33)</c:f>
              <c:strCache>
                <c:ptCount val="12"/>
                <c:pt idx="0">
                  <c:v>Einstaklingar</c:v>
                </c:pt>
                <c:pt idx="1">
                  <c:v>Opinberir aðilar</c:v>
                </c:pt>
                <c:pt idx="2">
                  <c:v>Sjávarútvegur</c:v>
                </c:pt>
                <c:pt idx="3">
                  <c:v>Byggingastarfsemi</c:v>
                </c:pt>
                <c:pt idx="4">
                  <c:v>Fasteignafélög</c:v>
                </c:pt>
                <c:pt idx="5">
                  <c:v>Eignarhaldsfélög</c:v>
                </c:pt>
                <c:pt idx="6">
                  <c:v>Verslun</c:v>
                </c:pt>
                <c:pt idx="7">
                  <c:v>Þjónusta</c:v>
                </c:pt>
                <c:pt idx="8">
                  <c:v>Upplýsingatækni og fjarskipti</c:v>
                </c:pt>
                <c:pt idx="9">
                  <c:v>Iðnaður</c:v>
                </c:pt>
                <c:pt idx="10">
                  <c:v>Landbúnaður</c:v>
                </c:pt>
                <c:pt idx="11">
                  <c:v>Annað</c:v>
                </c:pt>
              </c:strCache>
            </c:strRef>
          </c:cat>
          <c:val>
            <c:numRef>
              <c:f>('[1]Töluleg gögn'!$B$21:$B$22,'[1]Töluleg gögn'!$B$24:$B$33)</c:f>
              <c:numCache>
                <c:formatCode>#,##0</c:formatCode>
                <c:ptCount val="12"/>
                <c:pt idx="0">
                  <c:v>426668</c:v>
                </c:pt>
                <c:pt idx="1">
                  <c:v>4792</c:v>
                </c:pt>
                <c:pt idx="2">
                  <c:v>152541</c:v>
                </c:pt>
                <c:pt idx="3">
                  <c:v>94882</c:v>
                </c:pt>
                <c:pt idx="4">
                  <c:v>131698</c:v>
                </c:pt>
                <c:pt idx="5">
                  <c:v>27831</c:v>
                </c:pt>
                <c:pt idx="6">
                  <c:v>68159</c:v>
                </c:pt>
                <c:pt idx="7">
                  <c:v>131317</c:v>
                </c:pt>
                <c:pt idx="8">
                  <c:v>30234</c:v>
                </c:pt>
                <c:pt idx="9">
                  <c:v>19030</c:v>
                </c:pt>
                <c:pt idx="10">
                  <c:v>8223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70605178650665"/>
          <c:y val="3.9428489620615598E-2"/>
          <c:w val="0.33310799119332751"/>
          <c:h val="0.95022858506323049"/>
        </c:manualLayout>
      </c:layout>
      <c:overlay val="0"/>
      <c:txPr>
        <a:bodyPr/>
        <a:lstStyle/>
        <a:p>
          <a:pPr>
            <a:defRPr sz="800" baseline="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Lais" pitchFamily="2" charset="0"/>
        </a:defRPr>
      </a:pPr>
      <a:endParaRPr lang="is-I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9CA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1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2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3"/>
            <c:invertIfNegative val="0"/>
            <c:bubble3D val="0"/>
            <c:spPr>
              <a:solidFill>
                <a:srgbClr val="11415F"/>
              </a:solidFill>
            </c:spPr>
          </c:dPt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sz="900">
                      <a:solidFill>
                        <a:srgbClr val="525252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'[1]Töluleg gögn'!$E$2:$I$2</c:f>
              <c:numCache>
                <c:formatCode>m/d/yyyy</c:formatCode>
                <c:ptCount val="5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43555</c:v>
                </c:pt>
              </c:numCache>
            </c:numRef>
          </c:cat>
          <c:val>
            <c:numRef>
              <c:f>'[1]Töluleg gögn'!$E$3:$I$3</c:f>
              <c:numCache>
                <c:formatCode>#,#00%</c:formatCode>
                <c:ptCount val="5"/>
                <c:pt idx="0">
                  <c:v>0.30399999999999999</c:v>
                </c:pt>
                <c:pt idx="1">
                  <c:v>0.30199999999999999</c:v>
                </c:pt>
                <c:pt idx="2">
                  <c:v>0.26700000000000002</c:v>
                </c:pt>
                <c:pt idx="3">
                  <c:v>0.249</c:v>
                </c:pt>
                <c:pt idx="4">
                  <c:v>0.23799999999999999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444480"/>
        <c:axId val="553448576"/>
      </c:barChart>
      <c:catAx>
        <c:axId val="5534444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is-IS"/>
          </a:p>
        </c:txPr>
        <c:crossAx val="553448576"/>
        <c:crosses val="autoZero"/>
        <c:auto val="0"/>
        <c:lblAlgn val="ctr"/>
        <c:lblOffset val="100"/>
        <c:noMultiLvlLbl val="0"/>
      </c:catAx>
      <c:valAx>
        <c:axId val="55344857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#,#0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is-IS"/>
          </a:p>
        </c:txPr>
        <c:crossAx val="55344448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>
          <a:latin typeface="Lais" pitchFamily="2" charset="0"/>
        </a:defRPr>
      </a:pPr>
      <a:endParaRPr lang="is-I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19879B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Pt>
            <c:idx val="4"/>
            <c:bubble3D val="0"/>
            <c:spPr>
              <a:solidFill>
                <a:srgbClr val="BFC9D0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0161291313995588E-2"/>
                  <c:y val="-0.10646961974269488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556528794556418"/>
                  <c:y val="-5.0584743013253365E-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26%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2569965639540959E-2"/>
                  <c:y val="1.10797203178867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4519660452279525E-2"/>
                  <c:y val="0.117568290767518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gögn'!$A$11:$A$15</c:f>
              <c:strCache>
                <c:ptCount val="5"/>
                <c:pt idx="0">
                  <c:v>Innlán frá viðskiptavinum</c:v>
                </c:pt>
                <c:pt idx="1">
                  <c:v>Skuldir við fjármálafyrirtæki</c:v>
                </c:pt>
                <c:pt idx="2">
                  <c:v>Lántaka</c:v>
                </c:pt>
                <c:pt idx="3">
                  <c:v>Víkjandi lántökur</c:v>
                </c:pt>
                <c:pt idx="4">
                  <c:v>Eigið fé</c:v>
                </c:pt>
              </c:strCache>
            </c:strRef>
          </c:cat>
          <c:val>
            <c:numRef>
              <c:f>'[1]Töluleg gögn'!$B$11:$B$15</c:f>
              <c:numCache>
                <c:formatCode>#,##0</c:formatCode>
                <c:ptCount val="5"/>
                <c:pt idx="0">
                  <c:v>694820</c:v>
                </c:pt>
                <c:pt idx="1">
                  <c:v>36636</c:v>
                </c:pt>
                <c:pt idx="2">
                  <c:v>351005</c:v>
                </c:pt>
                <c:pt idx="3">
                  <c:v>13900</c:v>
                </c:pt>
                <c:pt idx="4">
                  <c:v>246206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43996641478118"/>
          <c:y val="0.1371808012869975"/>
          <c:w val="0.34270101483216237"/>
          <c:h val="0.35729473352273927"/>
        </c:manualLayout>
      </c:layout>
      <c:overlay val="0"/>
      <c:txPr>
        <a:bodyPr/>
        <a:lstStyle/>
        <a:p>
          <a:pPr rtl="0">
            <a:defRPr sz="80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Lais" pitchFamily="2" charset="0"/>
        </a:defRPr>
      </a:pPr>
      <a:endParaRPr lang="is-I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9.7960757214816965E-2"/>
                  <c:y val="0.1386194673609586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5348026646784625E-3"/>
                  <c:y val="1.10166567332726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'[1]Töluleg gögn'!$A$39:$A$42</c:f>
              <c:strCache>
                <c:ptCount val="4"/>
                <c:pt idx="0">
                  <c:v>Útlánaáhætta</c:v>
                </c:pt>
                <c:pt idx="1">
                  <c:v>Markaðsáhætta</c:v>
                </c:pt>
                <c:pt idx="2">
                  <c:v>Rekstraráhætta</c:v>
                </c:pt>
                <c:pt idx="3">
                  <c:v>Markaðsáhætta - gjaldeyrisgengisáhætta</c:v>
                </c:pt>
              </c:strCache>
            </c:strRef>
          </c:cat>
          <c:val>
            <c:numRef>
              <c:f>'[1]Töluleg gögn'!$B$39:$B$42</c:f>
              <c:numCache>
                <c:formatCode>0.00%</c:formatCode>
                <c:ptCount val="4"/>
                <c:pt idx="0">
                  <c:v>0.8982722078429457</c:v>
                </c:pt>
                <c:pt idx="1">
                  <c:v>6.6308541290228057E-3</c:v>
                </c:pt>
                <c:pt idx="2">
                  <c:v>9.3583044391268258E-2</c:v>
                </c:pt>
                <c:pt idx="3">
                  <c:v>1.5138936367631978E-3</c:v>
                </c:pt>
              </c:numCache>
            </c:numRef>
          </c:val>
        </c:ser>
        <c:ser>
          <c:idx val="0"/>
          <c:order val="0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1071266207197545E-2"/>
                  <c:y val="8.05212679193199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pPr algn="ctr">
                      <a:defRPr lang="is-IS" sz="900" b="0" i="0" u="none" strike="noStrike" kern="1200" baseline="0">
                        <a:solidFill>
                          <a:schemeClr val="bg1"/>
                        </a:solidFill>
                        <a:latin typeface="Arial" pitchFamily="34" charset="0"/>
                        <a:ea typeface="+mn-ea"/>
                        <a:cs typeface="Arial" pitchFamily="34" charset="0"/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is-IS" sz="900" b="0" i="0" u="none" strike="noStrike" kern="1200" baseline="0">
                    <a:solidFill>
                      <a:srgbClr val="11415F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gögn'!$A$39:$A$42</c:f>
              <c:strCache>
                <c:ptCount val="4"/>
                <c:pt idx="0">
                  <c:v>Útlánaáhætta</c:v>
                </c:pt>
                <c:pt idx="1">
                  <c:v>Markaðsáhætta</c:v>
                </c:pt>
                <c:pt idx="2">
                  <c:v>Rekstraráhætta</c:v>
                </c:pt>
                <c:pt idx="3">
                  <c:v>Markaðsáhætta - gjaldeyrisgengisáhætta</c:v>
                </c:pt>
              </c:strCache>
            </c:strRef>
          </c:cat>
          <c:val>
            <c:numRef>
              <c:f>'[1]Töluleg gögn'!$B$39:$B$42</c:f>
              <c:numCache>
                <c:formatCode>0.00%</c:formatCode>
                <c:ptCount val="4"/>
                <c:pt idx="0">
                  <c:v>0.8982722078429457</c:v>
                </c:pt>
                <c:pt idx="1">
                  <c:v>6.6308541290228057E-3</c:v>
                </c:pt>
                <c:pt idx="2">
                  <c:v>9.3583044391268258E-2</c:v>
                </c:pt>
                <c:pt idx="3">
                  <c:v>1.5138936367631978E-3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9929003560748"/>
          <c:y val="0.2228998576275"/>
          <c:w val="0.34028797570913066"/>
          <c:h val="0.53271924709599461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97460</xdr:colOff>
      <xdr:row>12</xdr:row>
      <xdr:rowOff>15876</xdr:rowOff>
    </xdr:from>
    <xdr:to>
      <xdr:col>3</xdr:col>
      <xdr:colOff>95251</xdr:colOff>
      <xdr:row>14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10" y="2692401"/>
          <a:ext cx="740741" cy="72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157161</xdr:rowOff>
    </xdr:from>
    <xdr:to>
      <xdr:col>5</xdr:col>
      <xdr:colOff>869156</xdr:colOff>
      <xdr:row>17</xdr:row>
      <xdr:rowOff>381000</xdr:rowOff>
    </xdr:to>
    <xdr:sp macro="" textlink="">
      <xdr:nvSpPr>
        <xdr:cNvPr id="2" name="TextBox 1"/>
        <xdr:cNvSpPr txBox="1"/>
      </xdr:nvSpPr>
      <xdr:spPr>
        <a:xfrm>
          <a:off x="0" y="1907380"/>
          <a:ext cx="4822031" cy="2533651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er stærsta fjármálafyrirtæki landsins með víðtækasta útibúanetið. Landsbankinn veitir einstaklingum, fyrirtækjum og fjárfestum trausta og alhliða fjármálaþjónustu sem byggir á langtíma viðskiptasamböndum. Kjarninn í starfsemi bankans er viðskiptabankastarfsemi til handa einstaklingum og fyrirtækjum og býður Landsbankinn þjónustu á sviði markaðsviðskipta og eignastýringar.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var stofnaður 7. október 2008 en saga forvera hans nær allt aftur til ársins 1886. </a:t>
          </a:r>
        </a:p>
        <a:p>
          <a:endParaRPr lang="en-US" sz="1100" b="0" i="0" u="none" strike="noStrike" baseline="0" smtClean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Ríkissjóður Íslands  á 98,2% hlut í bankanum og alls eru hluthafar um  883. </a:t>
          </a:r>
        </a:p>
        <a:p>
          <a:endParaRPr lang="en-US" sz="1100" b="0" i="0" u="none" strike="noStrike" baseline="0" smtClean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Lilja Björk Einarsdóttir er bankastjóri Landsbankans. </a:t>
          </a:r>
          <a:endParaRPr lang="is-IS" sz="900">
            <a:solidFill>
              <a:srgbClr val="525252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319087</xdr:colOff>
      <xdr:row>30</xdr:row>
      <xdr:rowOff>188117</xdr:rowOff>
    </xdr:from>
    <xdr:to>
      <xdr:col>12</xdr:col>
      <xdr:colOff>4762</xdr:colOff>
      <xdr:row>45</xdr:row>
      <xdr:rowOff>54767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50</xdr:row>
      <xdr:rowOff>33337</xdr:rowOff>
    </xdr:from>
    <xdr:to>
      <xdr:col>11</xdr:col>
      <xdr:colOff>734100</xdr:colOff>
      <xdr:row>62</xdr:row>
      <xdr:rowOff>89512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31</xdr:row>
      <xdr:rowOff>9525</xdr:rowOff>
    </xdr:from>
    <xdr:to>
      <xdr:col>5</xdr:col>
      <xdr:colOff>847725</xdr:colOff>
      <xdr:row>44</xdr:row>
      <xdr:rowOff>171449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85725</xdr:rowOff>
    </xdr:from>
    <xdr:to>
      <xdr:col>5</xdr:col>
      <xdr:colOff>790575</xdr:colOff>
      <xdr:row>62</xdr:row>
      <xdr:rowOff>123826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381000</xdr:colOff>
      <xdr:row>0</xdr:row>
      <xdr:rowOff>266700</xdr:rowOff>
    </xdr:from>
    <xdr:to>
      <xdr:col>11</xdr:col>
      <xdr:colOff>234599</xdr:colOff>
      <xdr:row>1</xdr:row>
      <xdr:rowOff>217</xdr:rowOff>
    </xdr:to>
    <xdr:pic>
      <xdr:nvPicPr>
        <xdr:cNvPr id="7" name="Picture 6" descr="LB_Merki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15400" y="266700"/>
          <a:ext cx="615599" cy="6193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ct%20Sheet%201-2019_ISL_vinnuskj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 Sheet ISK"/>
      <sheetName val="Töluleg gögn"/>
      <sheetName val="Útibú"/>
    </sheetNames>
    <sheetDataSet>
      <sheetData sheetId="0"/>
      <sheetData sheetId="1">
        <row r="2">
          <cell r="E2">
            <v>42369</v>
          </cell>
          <cell r="F2">
            <v>42735</v>
          </cell>
          <cell r="G2">
            <v>43100</v>
          </cell>
          <cell r="H2">
            <v>43465</v>
          </cell>
          <cell r="I2">
            <v>43555</v>
          </cell>
        </row>
        <row r="3">
          <cell r="E3">
            <v>0.30399999999999999</v>
          </cell>
          <cell r="F3">
            <v>0.30199999999999999</v>
          </cell>
          <cell r="G3">
            <v>0.26700000000000002</v>
          </cell>
          <cell r="H3">
            <v>0.249</v>
          </cell>
          <cell r="I3">
            <v>0.23799999999999999</v>
          </cell>
        </row>
        <row r="7">
          <cell r="P7">
            <v>133.19999999999999</v>
          </cell>
          <cell r="Q7">
            <v>137.69999999999999</v>
          </cell>
        </row>
        <row r="8">
          <cell r="K8">
            <v>123.56</v>
          </cell>
          <cell r="Q8">
            <v>136.05000000000001</v>
          </cell>
        </row>
        <row r="11">
          <cell r="A11" t="str">
            <v>Innlán frá viðskiptavinum</v>
          </cell>
          <cell r="B11">
            <v>694820</v>
          </cell>
        </row>
        <row r="12">
          <cell r="A12" t="str">
            <v>Skuldir við fjármálafyrirtæki</v>
          </cell>
          <cell r="B12">
            <v>36636</v>
          </cell>
        </row>
        <row r="13">
          <cell r="A13" t="str">
            <v>Lántaka</v>
          </cell>
          <cell r="B13">
            <v>351005</v>
          </cell>
        </row>
        <row r="14">
          <cell r="A14" t="str">
            <v>Víkjandi lántökur</v>
          </cell>
          <cell r="B14">
            <v>13900</v>
          </cell>
        </row>
        <row r="15">
          <cell r="A15" t="str">
            <v>Eigið fé</v>
          </cell>
          <cell r="B15">
            <v>246206</v>
          </cell>
        </row>
        <row r="21">
          <cell r="A21" t="str">
            <v>Einstaklingar</v>
          </cell>
          <cell r="B21">
            <v>426668</v>
          </cell>
        </row>
        <row r="22">
          <cell r="A22" t="str">
            <v>Opinberir aðilar</v>
          </cell>
          <cell r="B22">
            <v>4792</v>
          </cell>
        </row>
        <row r="24">
          <cell r="A24" t="str">
            <v>Sjávarútvegur</v>
          </cell>
          <cell r="B24">
            <v>152541</v>
          </cell>
        </row>
        <row r="25">
          <cell r="A25" t="str">
            <v>Byggingastarfsemi</v>
          </cell>
          <cell r="B25">
            <v>94882</v>
          </cell>
        </row>
        <row r="26">
          <cell r="A26" t="str">
            <v>Fasteignafélög</v>
          </cell>
          <cell r="B26">
            <v>131698</v>
          </cell>
        </row>
        <row r="27">
          <cell r="A27" t="str">
            <v>Eignarhaldsfélög</v>
          </cell>
          <cell r="B27">
            <v>27831</v>
          </cell>
        </row>
        <row r="28">
          <cell r="A28" t="str">
            <v>Verslun</v>
          </cell>
          <cell r="B28">
            <v>68159</v>
          </cell>
        </row>
        <row r="29">
          <cell r="A29" t="str">
            <v>Þjónusta</v>
          </cell>
          <cell r="B29">
            <v>131317</v>
          </cell>
        </row>
        <row r="30">
          <cell r="A30" t="str">
            <v>Upplýsingatækni og fjarskipti</v>
          </cell>
          <cell r="B30">
            <v>30234</v>
          </cell>
        </row>
        <row r="31">
          <cell r="A31" t="str">
            <v>Iðnaður</v>
          </cell>
          <cell r="B31">
            <v>19030</v>
          </cell>
        </row>
        <row r="32">
          <cell r="A32" t="str">
            <v>Landbúnaður</v>
          </cell>
          <cell r="B32">
            <v>8223</v>
          </cell>
        </row>
        <row r="33">
          <cell r="A33" t="str">
            <v>Annað</v>
          </cell>
          <cell r="B33">
            <v>1</v>
          </cell>
        </row>
        <row r="39">
          <cell r="A39" t="str">
            <v>Útlánaáhætta</v>
          </cell>
          <cell r="B39">
            <v>0.8982722078429457</v>
          </cell>
        </row>
        <row r="40">
          <cell r="A40" t="str">
            <v>Markaðsáhætta</v>
          </cell>
          <cell r="B40">
            <v>6.6308541290228057E-3</v>
          </cell>
        </row>
        <row r="41">
          <cell r="A41" t="str">
            <v>Rekstraráhætta</v>
          </cell>
          <cell r="B41">
            <v>9.3583044391268258E-2</v>
          </cell>
        </row>
        <row r="42">
          <cell r="A42" t="str">
            <v>Markaðsáhætta - gjaldeyrisgengisáhætta</v>
          </cell>
          <cell r="B42">
            <v>1.5138936367631978E-3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ndsbankinn.i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ankinn.landsbankinn.is/fjarfestar/vidburdadagatal/" TargetMode="External"/><Relationship Id="rId2" Type="http://schemas.openxmlformats.org/officeDocument/2006/relationships/hyperlink" Target="mailto:ir@landsbankinn.is" TargetMode="External"/><Relationship Id="rId1" Type="http://schemas.openxmlformats.org/officeDocument/2006/relationships/hyperlink" Target="https://bankinn.landsbankinn.is/fjarfestar/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P53"/>
  <sheetViews>
    <sheetView zoomScale="80" zoomScaleNormal="80" workbookViewId="0">
      <selection activeCell="E20" sqref="E20"/>
    </sheetView>
  </sheetViews>
  <sheetFormatPr defaultRowHeight="15"/>
  <cols>
    <col min="1" max="1" width="10.33203125" style="54" customWidth="1"/>
    <col min="2" max="3" width="8.6640625" style="54" customWidth="1"/>
    <col min="4" max="4" width="4.33203125" style="54" customWidth="1"/>
    <col min="5" max="5" width="5.77734375" style="54" customWidth="1"/>
    <col min="6" max="6" width="10.33203125" style="54" customWidth="1"/>
    <col min="7" max="7" width="7.44140625" style="54" customWidth="1"/>
    <col min="8" max="8" width="5.44140625" style="54" customWidth="1"/>
    <col min="9" max="10" width="7.77734375" style="54" customWidth="1"/>
    <col min="11" max="11" width="5.109375" style="54" customWidth="1"/>
    <col min="12" max="12" width="11.109375" style="54" customWidth="1"/>
    <col min="13" max="13" width="12.21875" style="54" customWidth="1"/>
    <col min="14" max="14" width="10.6640625" style="54" customWidth="1"/>
    <col min="15" max="15" width="1.77734375" style="54" customWidth="1"/>
    <col min="16" max="16" width="14.44140625" style="54" customWidth="1"/>
    <col min="17" max="16384" width="8.88671875" style="54"/>
  </cols>
  <sheetData>
    <row r="1" spans="1:16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6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6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6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6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6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1:16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6" ht="15.75" thickBot="1">
      <c r="A11" s="75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75"/>
      <c r="N11" s="75"/>
      <c r="O11" s="75"/>
      <c r="P11" s="85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6" ht="34.5">
      <c r="A13" s="75"/>
      <c r="B13" s="75"/>
      <c r="C13" s="75"/>
      <c r="D13" s="75"/>
      <c r="E13" s="161" t="s">
        <v>85</v>
      </c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6" ht="20.25">
      <c r="A14" s="75"/>
      <c r="B14" s="75"/>
      <c r="C14" s="75"/>
      <c r="D14" s="75"/>
      <c r="E14" s="88" t="s">
        <v>214</v>
      </c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6" ht="15.75" thickBot="1">
      <c r="A15" s="75"/>
      <c r="B15" s="75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75"/>
      <c r="N15" s="75"/>
      <c r="O15" s="75"/>
      <c r="P15" s="85"/>
    </row>
    <row r="16" spans="1:16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</row>
    <row r="17" spans="1:16" ht="27">
      <c r="A17" s="75"/>
      <c r="B17" s="75"/>
      <c r="C17" s="75"/>
      <c r="D17" s="75"/>
      <c r="E17" s="75"/>
      <c r="F17" s="75"/>
      <c r="G17" s="75"/>
      <c r="H17" s="79"/>
      <c r="I17" s="75"/>
      <c r="J17" s="75"/>
      <c r="K17" s="75"/>
      <c r="L17" s="75"/>
      <c r="M17" s="75"/>
      <c r="N17" s="75"/>
      <c r="O17" s="75"/>
    </row>
    <row r="18" spans="1:16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</row>
    <row r="19" spans="1:16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</row>
    <row r="20" spans="1:16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</row>
    <row r="21" spans="1:16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</row>
    <row r="22" spans="1:16" ht="16.5" customHeight="1">
      <c r="A22" s="75"/>
      <c r="B22" s="75"/>
      <c r="C22" s="75"/>
      <c r="D22" s="75"/>
      <c r="E22" s="75"/>
      <c r="F22" s="75"/>
      <c r="G22" s="75"/>
      <c r="H22" s="75"/>
      <c r="I22" s="79"/>
      <c r="J22" s="79"/>
      <c r="K22" s="80"/>
      <c r="L22" s="80"/>
      <c r="M22" s="80"/>
      <c r="N22" s="80"/>
      <c r="O22" s="80"/>
      <c r="P22" s="167"/>
    </row>
    <row r="23" spans="1:16" ht="32.25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</row>
    <row r="24" spans="1:16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</row>
    <row r="25" spans="1:16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</row>
    <row r="26" spans="1:16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</row>
    <row r="27" spans="1:16" ht="18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</row>
    <row r="28" spans="1:16" ht="6.7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</row>
    <row r="29" spans="1:16" ht="12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</row>
    <row r="30" spans="1:16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1:16" ht="15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</row>
    <row r="32" spans="1:16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1:15" ht="46.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</row>
    <row r="34" spans="1:15" ht="16.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1:15">
      <c r="A35" s="75"/>
      <c r="B35" s="75"/>
      <c r="C35" s="76" t="s">
        <v>5</v>
      </c>
      <c r="D35" s="76"/>
      <c r="E35" s="76"/>
      <c r="F35" s="76" t="s">
        <v>86</v>
      </c>
      <c r="G35" s="76"/>
      <c r="H35" s="76"/>
      <c r="I35" s="82" t="s">
        <v>87</v>
      </c>
      <c r="J35" s="82"/>
      <c r="K35" s="76"/>
      <c r="L35" s="83" t="s">
        <v>88</v>
      </c>
      <c r="M35" s="75"/>
      <c r="N35" s="75"/>
      <c r="O35" s="75"/>
    </row>
    <row r="36" spans="1:15" ht="14.2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1:15" ht="17.25" customHeight="1"/>
    <row r="47" spans="1:15">
      <c r="C47" s="78"/>
      <c r="D47" s="78"/>
      <c r="E47" s="78"/>
      <c r="F47" s="78"/>
      <c r="G47" s="78"/>
      <c r="H47" s="78"/>
      <c r="I47" s="168"/>
      <c r="J47" s="168"/>
      <c r="K47" s="78"/>
      <c r="L47" s="169"/>
      <c r="M47" s="169"/>
      <c r="N47" s="169"/>
      <c r="O47" s="169"/>
    </row>
    <row r="49" spans="3:16">
      <c r="C49" s="78"/>
      <c r="D49" s="78"/>
      <c r="E49" s="78"/>
      <c r="F49" s="78"/>
      <c r="G49" s="78"/>
      <c r="H49" s="78"/>
      <c r="I49" s="168"/>
      <c r="J49" s="168"/>
      <c r="K49" s="78"/>
      <c r="L49" s="169"/>
      <c r="M49" s="169"/>
      <c r="N49" s="169"/>
      <c r="O49" s="169"/>
    </row>
    <row r="52" spans="3:16" ht="18.75" customHeight="1"/>
    <row r="53" spans="3:16">
      <c r="P53" s="78"/>
    </row>
  </sheetData>
  <hyperlinks>
    <hyperlink ref="L35" r:id="rId1" display="www.landsbankinn.is"/>
  </hyperlinks>
  <pageMargins left="0" right="0" top="0" bottom="0" header="0" footer="0"/>
  <pageSetup fitToHeight="0" orientation="landscape" r:id="rId2"/>
  <headerFooter scaleWithDoc="0"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K31"/>
  <sheetViews>
    <sheetView zoomScale="80" zoomScaleNormal="80" zoomScaleSheetLayoutView="90" zoomScalePageLayoutView="165" workbookViewId="0">
      <selection activeCell="E20" sqref="E20"/>
    </sheetView>
  </sheetViews>
  <sheetFormatPr defaultColWidth="11.5546875" defaultRowHeight="15"/>
  <cols>
    <col min="1" max="1" width="31.44140625" style="54" customWidth="1"/>
    <col min="2" max="11" width="8.77734375" style="54" customWidth="1"/>
    <col min="12" max="12" width="4.33203125" style="54" customWidth="1"/>
    <col min="13" max="15" width="11.5546875" style="54"/>
    <col min="16" max="16" width="17.6640625" style="54" customWidth="1"/>
    <col min="17" max="16384" width="11.5546875" style="54"/>
  </cols>
  <sheetData>
    <row r="1" spans="1:11" ht="24" customHeight="1">
      <c r="A1" s="77" t="s">
        <v>64</v>
      </c>
      <c r="B1" s="77"/>
      <c r="C1" s="76"/>
      <c r="D1" s="76"/>
      <c r="E1" s="76"/>
      <c r="F1" s="76"/>
      <c r="G1" s="76"/>
      <c r="H1" s="76"/>
      <c r="I1" s="76"/>
      <c r="J1" s="76"/>
      <c r="K1" s="76"/>
    </row>
    <row r="2" spans="1:11" ht="24" customHeight="1">
      <c r="A2" s="140" t="s">
        <v>11</v>
      </c>
      <c r="B2" s="144">
        <v>2018</v>
      </c>
      <c r="C2" s="144">
        <v>2017</v>
      </c>
      <c r="D2" s="144">
        <v>2016</v>
      </c>
      <c r="E2" s="144">
        <v>2015</v>
      </c>
      <c r="F2" s="144">
        <v>2014</v>
      </c>
      <c r="G2" s="144">
        <v>2013</v>
      </c>
      <c r="H2" s="144">
        <v>2012</v>
      </c>
      <c r="I2" s="144">
        <v>2011</v>
      </c>
      <c r="J2" s="144">
        <v>2010</v>
      </c>
      <c r="K2" s="144">
        <v>2009</v>
      </c>
    </row>
    <row r="3" spans="1:11" ht="24" customHeight="1">
      <c r="A3" s="34" t="s">
        <v>65</v>
      </c>
      <c r="B3" s="152">
        <v>19260</v>
      </c>
      <c r="C3" s="152">
        <v>19766</v>
      </c>
      <c r="D3" s="152">
        <v>16643</v>
      </c>
      <c r="E3" s="152">
        <v>36460</v>
      </c>
      <c r="F3" s="153">
        <v>29737</v>
      </c>
      <c r="G3" s="154">
        <v>28759</v>
      </c>
      <c r="H3" s="154">
        <v>25494</v>
      </c>
      <c r="I3" s="153">
        <v>16957</v>
      </c>
      <c r="J3" s="154">
        <v>27213</v>
      </c>
      <c r="K3" s="189">
        <v>14332</v>
      </c>
    </row>
    <row r="4" spans="1:11" ht="24" customHeight="1">
      <c r="A4" s="4" t="s">
        <v>66</v>
      </c>
      <c r="B4" s="29">
        <v>0.128</v>
      </c>
      <c r="C4" s="29">
        <v>0.123</v>
      </c>
      <c r="D4" s="29">
        <v>9.9000000000000005E-2</v>
      </c>
      <c r="E4" s="29">
        <v>0.19900000000000001</v>
      </c>
      <c r="F4" s="30">
        <v>0.16700000000000001</v>
      </c>
      <c r="G4" s="31">
        <v>0.17599999999999999</v>
      </c>
      <c r="H4" s="31">
        <v>0.14000000000000001</v>
      </c>
      <c r="I4" s="30">
        <v>8.1000000000000003E-2</v>
      </c>
      <c r="J4" s="31">
        <v>0.20799999999999999</v>
      </c>
      <c r="K4" s="190">
        <v>9.9000000000000005E-2</v>
      </c>
    </row>
    <row r="5" spans="1:11" ht="24" customHeight="1">
      <c r="A5" s="4" t="s">
        <v>67</v>
      </c>
      <c r="B5" s="29">
        <v>8.2000000000000003E-2</v>
      </c>
      <c r="C5" s="29">
        <v>8.2000000000000003E-2</v>
      </c>
      <c r="D5" s="29">
        <v>6.6000000000000003E-2</v>
      </c>
      <c r="E5" s="29">
        <v>0.14799999999999999</v>
      </c>
      <c r="F5" s="30">
        <v>0.125</v>
      </c>
      <c r="G5" s="31">
        <v>0.124</v>
      </c>
      <c r="H5" s="31">
        <v>0.12</v>
      </c>
      <c r="I5" s="30">
        <v>8.4000000000000005E-2</v>
      </c>
      <c r="J5" s="31">
        <v>0.16</v>
      </c>
      <c r="K5" s="190">
        <v>9.5000000000000001E-2</v>
      </c>
    </row>
    <row r="6" spans="1:11" ht="24" customHeight="1">
      <c r="A6" s="43" t="s">
        <v>116</v>
      </c>
      <c r="B6" s="29">
        <v>1.4999999999999999E-2</v>
      </c>
      <c r="C6" s="29">
        <v>1.7000000000000001E-2</v>
      </c>
      <c r="D6" s="29">
        <v>1.4999999999999999E-2</v>
      </c>
      <c r="E6" s="29">
        <v>3.2000000000000001E-2</v>
      </c>
      <c r="F6" s="30">
        <v>2.5999999999999999E-2</v>
      </c>
      <c r="G6" s="31">
        <v>2.5999999999999999E-2</v>
      </c>
      <c r="H6" s="31">
        <v>2.3E-2</v>
      </c>
      <c r="I6" s="259">
        <v>1.4999999999999999E-2</v>
      </c>
      <c r="J6" s="51">
        <v>2.5000000000000001E-2</v>
      </c>
      <c r="K6" s="191"/>
    </row>
    <row r="7" spans="1:11" ht="24" customHeight="1">
      <c r="A7" s="4" t="s">
        <v>155</v>
      </c>
      <c r="B7" s="29">
        <v>0.249</v>
      </c>
      <c r="C7" s="29">
        <v>0.26700000000000002</v>
      </c>
      <c r="D7" s="29">
        <v>0.30199999999999999</v>
      </c>
      <c r="E7" s="29">
        <v>0.30399999999999999</v>
      </c>
      <c r="F7" s="30">
        <v>0.29499999999999998</v>
      </c>
      <c r="G7" s="31">
        <v>0.26700000000000002</v>
      </c>
      <c r="H7" s="31">
        <v>0.251</v>
      </c>
      <c r="I7" s="30">
        <v>0.214</v>
      </c>
      <c r="J7" s="31">
        <v>0.19500000000000001</v>
      </c>
      <c r="K7" s="190">
        <v>0.15</v>
      </c>
    </row>
    <row r="8" spans="1:11" ht="24" customHeight="1">
      <c r="A8" s="4" t="s">
        <v>12</v>
      </c>
      <c r="B8" s="45">
        <v>40814</v>
      </c>
      <c r="C8" s="45">
        <v>36271</v>
      </c>
      <c r="D8" s="45">
        <v>34650</v>
      </c>
      <c r="E8" s="45">
        <v>32324</v>
      </c>
      <c r="F8" s="44">
        <v>28073</v>
      </c>
      <c r="G8" s="255">
        <v>34314</v>
      </c>
      <c r="H8" s="255">
        <v>35584</v>
      </c>
      <c r="I8" s="260">
        <v>32649</v>
      </c>
      <c r="J8" s="7">
        <v>24685</v>
      </c>
      <c r="K8" s="192">
        <v>14574</v>
      </c>
    </row>
    <row r="9" spans="1:11" ht="24" customHeight="1">
      <c r="A9" s="43" t="s">
        <v>117</v>
      </c>
      <c r="B9" s="29">
        <v>2.7E-2</v>
      </c>
      <c r="C9" s="29">
        <v>2.5000000000000001E-2</v>
      </c>
      <c r="D9" s="29">
        <v>2.3E-2</v>
      </c>
      <c r="E9" s="254">
        <v>2.1999999999999999E-2</v>
      </c>
      <c r="F9" s="259">
        <v>1.9E-2</v>
      </c>
      <c r="G9" s="31">
        <v>2.4E-2</v>
      </c>
      <c r="H9" s="31">
        <v>2.5999999999999999E-2</v>
      </c>
      <c r="I9" s="259">
        <v>2.4E-2</v>
      </c>
      <c r="J9" s="51">
        <v>1.6E-2</v>
      </c>
      <c r="K9" s="191"/>
    </row>
    <row r="10" spans="1:11" ht="24" customHeight="1">
      <c r="A10" s="43" t="s">
        <v>118</v>
      </c>
      <c r="B10" s="29">
        <v>0.45500000000000002</v>
      </c>
      <c r="C10" s="29">
        <v>0.46100000000000002</v>
      </c>
      <c r="D10" s="29">
        <v>0.48399999999999999</v>
      </c>
      <c r="E10" s="29">
        <v>0.438</v>
      </c>
      <c r="F10" s="30">
        <v>0.56000000000000005</v>
      </c>
      <c r="G10" s="31">
        <v>0.42899999999999999</v>
      </c>
      <c r="H10" s="31">
        <v>0.45</v>
      </c>
      <c r="I10" s="30">
        <v>0.40600000000000003</v>
      </c>
      <c r="J10" s="31">
        <v>0.36799999999999999</v>
      </c>
      <c r="K10" s="191">
        <v>0.70899999999999996</v>
      </c>
    </row>
    <row r="11" spans="1:11" ht="24" customHeight="1">
      <c r="A11" s="4" t="s">
        <v>68</v>
      </c>
      <c r="B11" s="11">
        <v>1.66</v>
      </c>
      <c r="C11" s="11">
        <v>1.79</v>
      </c>
      <c r="D11" s="11">
        <v>1.54</v>
      </c>
      <c r="E11" s="11">
        <v>1.36</v>
      </c>
      <c r="F11" s="12" t="s">
        <v>0</v>
      </c>
      <c r="G11" s="13"/>
      <c r="H11" s="13"/>
      <c r="I11" s="12"/>
      <c r="J11" s="13"/>
      <c r="K11" s="193"/>
    </row>
    <row r="12" spans="1:11" ht="24" customHeight="1">
      <c r="A12" s="4" t="s">
        <v>190</v>
      </c>
      <c r="B12" s="11">
        <v>1.58</v>
      </c>
      <c r="C12" s="11">
        <v>1.57</v>
      </c>
      <c r="D12" s="11">
        <v>1.28</v>
      </c>
      <c r="E12" s="11">
        <v>1.1299999999999999</v>
      </c>
      <c r="F12" s="17">
        <v>1.31</v>
      </c>
      <c r="G12" s="13" t="s">
        <v>1</v>
      </c>
      <c r="H12" s="13" t="s">
        <v>3</v>
      </c>
      <c r="I12" s="12" t="s">
        <v>3</v>
      </c>
      <c r="J12" s="13" t="s">
        <v>3</v>
      </c>
      <c r="K12" s="193" t="s">
        <v>3</v>
      </c>
    </row>
    <row r="13" spans="1:11" ht="24" customHeight="1">
      <c r="A13" s="4" t="s">
        <v>69</v>
      </c>
      <c r="B13" s="256">
        <v>5.34</v>
      </c>
      <c r="C13" s="256">
        <v>9.31</v>
      </c>
      <c r="D13" s="256">
        <v>7.43</v>
      </c>
      <c r="E13" s="256">
        <v>3.6</v>
      </c>
      <c r="F13" s="257">
        <v>6.14</v>
      </c>
      <c r="G13" s="258" t="s">
        <v>2</v>
      </c>
      <c r="H13" s="13" t="s">
        <v>3</v>
      </c>
      <c r="I13" s="12" t="s">
        <v>3</v>
      </c>
      <c r="J13" s="13" t="s">
        <v>3</v>
      </c>
      <c r="K13" s="193" t="s">
        <v>3</v>
      </c>
    </row>
    <row r="14" spans="1:11" ht="24" customHeight="1">
      <c r="A14" s="43" t="s">
        <v>213</v>
      </c>
      <c r="B14" s="254">
        <v>1.9E-2</v>
      </c>
      <c r="C14" s="29">
        <v>0.02</v>
      </c>
      <c r="D14" s="29">
        <v>2.1000000000000001E-2</v>
      </c>
      <c r="E14" s="29">
        <v>2.1000000000000001E-2</v>
      </c>
      <c r="F14" s="30">
        <v>2.1000000000000001E-2</v>
      </c>
      <c r="G14" s="31">
        <v>0.02</v>
      </c>
      <c r="H14" s="31">
        <v>2.1999999999999999E-2</v>
      </c>
      <c r="I14" s="30">
        <v>0.02</v>
      </c>
      <c r="J14" s="31">
        <v>1.7000000000000001E-2</v>
      </c>
      <c r="K14" s="190">
        <v>1.6E-2</v>
      </c>
    </row>
    <row r="15" spans="1:11" ht="24" customHeight="1">
      <c r="A15" s="4" t="s">
        <v>70</v>
      </c>
      <c r="B15" s="45">
        <v>1326041</v>
      </c>
      <c r="C15" s="45">
        <v>1192870</v>
      </c>
      <c r="D15" s="45">
        <v>1111157</v>
      </c>
      <c r="E15" s="45">
        <v>1118658</v>
      </c>
      <c r="F15" s="44">
        <v>1098370</v>
      </c>
      <c r="G15" s="255">
        <v>1151516</v>
      </c>
      <c r="H15" s="7">
        <v>1084787</v>
      </c>
      <c r="I15" s="260">
        <v>1135482</v>
      </c>
      <c r="J15" s="7">
        <v>1081133</v>
      </c>
      <c r="K15" s="192">
        <v>1061101</v>
      </c>
    </row>
    <row r="16" spans="1:11" ht="24" customHeight="1">
      <c r="A16" s="4" t="s">
        <v>71</v>
      </c>
      <c r="B16" s="29">
        <v>1.536</v>
      </c>
      <c r="C16" s="29">
        <v>1.53</v>
      </c>
      <c r="D16" s="29">
        <v>1.4470000000000001</v>
      </c>
      <c r="E16" s="29">
        <v>1.452</v>
      </c>
      <c r="F16" s="30">
        <v>1.3029999999999999</v>
      </c>
      <c r="G16" s="31">
        <v>1.49</v>
      </c>
      <c r="H16" s="31">
        <v>1.5820000000000001</v>
      </c>
      <c r="I16" s="30">
        <v>1.4410000000000001</v>
      </c>
      <c r="J16" s="31">
        <v>1.5960000000000001</v>
      </c>
      <c r="K16" s="190">
        <v>1.474</v>
      </c>
    </row>
    <row r="17" spans="1:11" ht="24" customHeight="1">
      <c r="A17" s="18" t="s">
        <v>72</v>
      </c>
      <c r="B17" s="19">
        <v>919</v>
      </c>
      <c r="C17" s="19">
        <v>997</v>
      </c>
      <c r="D17" s="19">
        <v>1012</v>
      </c>
      <c r="E17" s="19">
        <v>1063</v>
      </c>
      <c r="F17" s="20">
        <v>1126</v>
      </c>
      <c r="G17" s="21">
        <v>1183</v>
      </c>
      <c r="H17" s="21">
        <v>1233</v>
      </c>
      <c r="I17" s="20">
        <v>1311</v>
      </c>
      <c r="J17" s="21">
        <v>1146</v>
      </c>
      <c r="K17" s="194">
        <v>1161</v>
      </c>
    </row>
    <row r="18" spans="1:11" ht="24" customHeight="1">
      <c r="A18" s="18" t="s">
        <v>73</v>
      </c>
      <c r="B18" s="48">
        <v>0.81</v>
      </c>
      <c r="C18" s="48">
        <v>0.84</v>
      </c>
      <c r="D18" s="48">
        <v>0.7</v>
      </c>
      <c r="E18" s="48">
        <v>1.54</v>
      </c>
      <c r="F18" s="49">
        <v>1.26</v>
      </c>
      <c r="G18" s="50">
        <v>1.22</v>
      </c>
      <c r="H18" s="50">
        <v>1.06</v>
      </c>
      <c r="I18" s="49">
        <v>0.71</v>
      </c>
      <c r="J18" s="50">
        <v>1.1299999999999999</v>
      </c>
      <c r="K18" s="195">
        <v>0.6</v>
      </c>
    </row>
    <row r="19" spans="1:11" ht="24" customHeight="1">
      <c r="A19" s="4" t="s">
        <v>74</v>
      </c>
      <c r="B19" s="48">
        <v>1.05</v>
      </c>
      <c r="C19" s="48">
        <v>1.05</v>
      </c>
      <c r="D19" s="48">
        <v>1.2</v>
      </c>
      <c r="E19" s="48">
        <v>1</v>
      </c>
      <c r="F19" s="49">
        <v>0.84</v>
      </c>
      <c r="G19" s="50">
        <v>0.42</v>
      </c>
      <c r="H19" s="50">
        <v>0</v>
      </c>
      <c r="I19" s="49">
        <v>0</v>
      </c>
      <c r="J19" s="50">
        <v>0</v>
      </c>
      <c r="K19" s="195">
        <v>0</v>
      </c>
    </row>
    <row r="20" spans="1:11" ht="9" customHeight="1"/>
    <row r="21" spans="1:11">
      <c r="A21" s="73" t="s">
        <v>159</v>
      </c>
      <c r="B21" s="73"/>
    </row>
    <row r="22" spans="1:11">
      <c r="A22" s="73" t="s">
        <v>119</v>
      </c>
      <c r="B22" s="73"/>
    </row>
    <row r="23" spans="1:11">
      <c r="A23" s="73" t="s">
        <v>160</v>
      </c>
      <c r="B23" s="73"/>
      <c r="C23" s="74"/>
      <c r="D23" s="74"/>
      <c r="E23" s="74"/>
      <c r="F23" s="74"/>
      <c r="G23" s="74"/>
      <c r="H23" s="74"/>
      <c r="I23" s="74"/>
      <c r="J23" s="74"/>
      <c r="K23" s="74"/>
    </row>
    <row r="24" spans="1:11">
      <c r="A24" s="73"/>
      <c r="B24" s="73"/>
      <c r="C24" s="74"/>
      <c r="D24" s="74"/>
      <c r="E24" s="74"/>
      <c r="F24" s="74"/>
      <c r="G24" s="74"/>
      <c r="H24" s="74"/>
      <c r="I24" s="74"/>
      <c r="J24" s="74"/>
      <c r="K24" s="74"/>
    </row>
    <row r="25" spans="1:11" ht="9" customHeight="1"/>
    <row r="26" spans="1:11" ht="24" customHeight="1">
      <c r="A26" s="114" t="s">
        <v>9</v>
      </c>
      <c r="B26" s="114"/>
    </row>
    <row r="31" spans="1:11" ht="41.25" customHeight="1"/>
  </sheetData>
  <hyperlinks>
    <hyperlink ref="A26" location="Efnisyfirlit!Print_Area" display="Aftur í efnisyfirlit"/>
  </hyperlinks>
  <pageMargins left="0.70866141732283472" right="0.19685039370078741" top="0.74803149606299213" bottom="0.15748031496062992" header="0.31496062992125984" footer="0.19685039370078741"/>
  <pageSetup paperSize="9" scale="95" orientation="landscape" r:id="rId1"/>
  <headerFooter scaleWithDoc="0" alignWithMargins="0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H31"/>
  <sheetViews>
    <sheetView zoomScale="90" zoomScaleNormal="90" zoomScaleSheetLayoutView="90" zoomScalePageLayoutView="165" workbookViewId="0">
      <selection activeCell="E20" sqref="E20"/>
    </sheetView>
  </sheetViews>
  <sheetFormatPr defaultColWidth="11.5546875" defaultRowHeight="15"/>
  <cols>
    <col min="1" max="1" width="31.21875" style="54" customWidth="1"/>
    <col min="2" max="4" width="8.21875" style="54" customWidth="1"/>
    <col min="5" max="19" width="8.109375" style="54" customWidth="1"/>
    <col min="20" max="20" width="6.44140625" style="54" bestFit="1" customWidth="1"/>
    <col min="21" max="34" width="8.109375" style="54" customWidth="1"/>
    <col min="35" max="35" width="8.44140625" style="54" customWidth="1"/>
    <col min="36" max="16384" width="11.5546875" style="54"/>
  </cols>
  <sheetData>
    <row r="1" spans="1:34" s="78" customFormat="1" ht="24" customHeight="1">
      <c r="A1" s="77" t="s">
        <v>64</v>
      </c>
      <c r="B1" s="76"/>
      <c r="C1" s="77"/>
      <c r="D1" s="77"/>
      <c r="E1" s="77"/>
      <c r="F1" s="77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2" spans="1:34" s="78" customFormat="1" ht="24" customHeight="1">
      <c r="A2" s="140" t="s">
        <v>11</v>
      </c>
      <c r="B2" s="144" t="s">
        <v>215</v>
      </c>
      <c r="C2" s="144" t="s">
        <v>209</v>
      </c>
      <c r="D2" s="144" t="s">
        <v>203</v>
      </c>
      <c r="E2" s="144" t="s">
        <v>200</v>
      </c>
      <c r="F2" s="144" t="s">
        <v>193</v>
      </c>
      <c r="G2" s="144" t="s">
        <v>189</v>
      </c>
      <c r="H2" s="144" t="s">
        <v>185</v>
      </c>
      <c r="I2" s="144" t="s">
        <v>182</v>
      </c>
      <c r="J2" s="144" t="s">
        <v>181</v>
      </c>
      <c r="K2" s="144" t="s">
        <v>153</v>
      </c>
      <c r="L2" s="144" t="s">
        <v>25</v>
      </c>
      <c r="M2" s="144" t="s">
        <v>26</v>
      </c>
      <c r="N2" s="144" t="s">
        <v>27</v>
      </c>
      <c r="O2" s="144" t="s">
        <v>28</v>
      </c>
      <c r="P2" s="144" t="s">
        <v>29</v>
      </c>
      <c r="Q2" s="144" t="s">
        <v>30</v>
      </c>
      <c r="R2" s="144" t="s">
        <v>31</v>
      </c>
      <c r="S2" s="144" t="s">
        <v>32</v>
      </c>
      <c r="T2" s="144" t="s">
        <v>33</v>
      </c>
      <c r="U2" s="144" t="s">
        <v>34</v>
      </c>
      <c r="V2" s="144" t="s">
        <v>35</v>
      </c>
      <c r="W2" s="144" t="s">
        <v>36</v>
      </c>
      <c r="X2" s="144" t="s">
        <v>37</v>
      </c>
      <c r="Y2" s="144" t="s">
        <v>38</v>
      </c>
      <c r="Z2" s="144" t="s">
        <v>39</v>
      </c>
      <c r="AA2" s="144" t="s">
        <v>40</v>
      </c>
      <c r="AB2" s="144" t="s">
        <v>41</v>
      </c>
      <c r="AC2" s="144" t="s">
        <v>42</v>
      </c>
      <c r="AD2" s="144" t="s">
        <v>43</v>
      </c>
      <c r="AE2" s="144" t="s">
        <v>44</v>
      </c>
      <c r="AF2" s="144" t="s">
        <v>45</v>
      </c>
      <c r="AG2" s="144" t="s">
        <v>46</v>
      </c>
      <c r="AH2" s="144" t="s">
        <v>47</v>
      </c>
    </row>
    <row r="3" spans="1:34" ht="24" customHeight="1">
      <c r="A3" s="34" t="s">
        <v>65</v>
      </c>
      <c r="B3" s="155">
        <v>6784</v>
      </c>
      <c r="C3" s="230">
        <v>3867</v>
      </c>
      <c r="D3" s="230">
        <v>3780</v>
      </c>
      <c r="E3" s="230">
        <v>3511</v>
      </c>
      <c r="F3" s="155">
        <v>8102</v>
      </c>
      <c r="G3" s="155">
        <v>2925</v>
      </c>
      <c r="H3" s="155">
        <v>4188</v>
      </c>
      <c r="I3" s="155">
        <v>5077</v>
      </c>
      <c r="J3" s="155">
        <v>7576</v>
      </c>
      <c r="K3" s="155">
        <v>243</v>
      </c>
      <c r="L3" s="155">
        <v>5102</v>
      </c>
      <c r="M3" s="155">
        <v>7983</v>
      </c>
      <c r="N3" s="156">
        <v>3315</v>
      </c>
      <c r="O3" s="156">
        <v>12047</v>
      </c>
      <c r="P3" s="156">
        <v>12008</v>
      </c>
      <c r="Q3" s="155">
        <v>5993</v>
      </c>
      <c r="R3" s="157">
        <v>6412</v>
      </c>
      <c r="S3" s="157">
        <v>9752</v>
      </c>
      <c r="T3" s="157">
        <v>5107</v>
      </c>
      <c r="U3" s="182">
        <v>10590</v>
      </c>
      <c r="V3" s="177">
        <v>4288</v>
      </c>
      <c r="W3" s="157">
        <v>6483</v>
      </c>
      <c r="X3" s="157">
        <v>6751</v>
      </c>
      <c r="Y3" s="157">
        <v>7536</v>
      </c>
      <c r="Z3" s="157">
        <v>7989</v>
      </c>
      <c r="AA3" s="157">
        <v>11953</v>
      </c>
      <c r="AB3" s="157">
        <v>1664</v>
      </c>
      <c r="AC3" s="157">
        <v>4148</v>
      </c>
      <c r="AD3" s="157">
        <v>7729</v>
      </c>
      <c r="AE3" s="149">
        <v>-9996</v>
      </c>
      <c r="AF3" s="149">
        <v>2519</v>
      </c>
      <c r="AG3" s="149">
        <v>11743</v>
      </c>
      <c r="AH3" s="149">
        <v>12691</v>
      </c>
    </row>
    <row r="4" spans="1:34" ht="24" customHeight="1">
      <c r="A4" s="4" t="s">
        <v>120</v>
      </c>
      <c r="B4" s="32">
        <v>0.14499999999999999</v>
      </c>
      <c r="C4" s="131">
        <v>0.112</v>
      </c>
      <c r="D4" s="131">
        <v>0.111</v>
      </c>
      <c r="E4" s="131">
        <v>0.105</v>
      </c>
      <c r="F4" s="32">
        <v>0.183</v>
      </c>
      <c r="G4" s="32">
        <v>9.2999999999999999E-2</v>
      </c>
      <c r="H4" s="32">
        <v>0.111</v>
      </c>
      <c r="I4" s="32">
        <v>0.126</v>
      </c>
      <c r="J4" s="32">
        <v>0.16200000000000001</v>
      </c>
      <c r="K4" s="32">
        <v>1.7000000000000001E-2</v>
      </c>
      <c r="L4" s="32">
        <v>0.125</v>
      </c>
      <c r="M4" s="32">
        <v>0.17172907401332071</v>
      </c>
      <c r="N4" s="25">
        <v>7.9161947266692595E-2</v>
      </c>
      <c r="O4" s="25">
        <v>0.23750181329361816</v>
      </c>
      <c r="P4" s="25">
        <v>0.27150563842579051</v>
      </c>
      <c r="Q4" s="32">
        <v>0.1420441111899213</v>
      </c>
      <c r="R4" s="33">
        <v>0.13900000000000001</v>
      </c>
      <c r="S4" s="33">
        <v>0.186</v>
      </c>
      <c r="T4" s="33">
        <v>0.111</v>
      </c>
      <c r="U4" s="183">
        <v>0.25900000000000001</v>
      </c>
      <c r="V4" s="178">
        <v>0.112</v>
      </c>
      <c r="W4" s="33">
        <v>0.214</v>
      </c>
      <c r="X4" s="33">
        <v>0.14499999999999999</v>
      </c>
      <c r="Y4" s="33">
        <v>0.17299999999999999</v>
      </c>
      <c r="Z4" s="33">
        <v>0.17199999999999999</v>
      </c>
      <c r="AA4" s="33">
        <v>0.26</v>
      </c>
      <c r="AB4" s="33">
        <v>1.2E-2</v>
      </c>
      <c r="AC4" s="33">
        <v>9.0999999999999998E-2</v>
      </c>
      <c r="AD4" s="33">
        <v>0.19500000000000001</v>
      </c>
      <c r="AE4" s="52">
        <v>-0.26900000000000002</v>
      </c>
      <c r="AF4" s="52">
        <v>6.6000000000000003E-2</v>
      </c>
      <c r="AG4" s="52">
        <v>0.27400000000000002</v>
      </c>
      <c r="AH4" s="52">
        <v>0.27200000000000002</v>
      </c>
    </row>
    <row r="5" spans="1:34" ht="24" customHeight="1">
      <c r="A5" s="4" t="s">
        <v>67</v>
      </c>
      <c r="B5" s="32">
        <v>0.112</v>
      </c>
      <c r="C5" s="131">
        <v>6.5000000000000002E-2</v>
      </c>
      <c r="D5" s="131">
        <v>6.5000000000000002E-2</v>
      </c>
      <c r="E5" s="131">
        <v>6.0999999999999999E-2</v>
      </c>
      <c r="F5" s="32">
        <v>0.13700000000000001</v>
      </c>
      <c r="G5" s="32">
        <v>4.8000000000000001E-2</v>
      </c>
      <c r="H5" s="32">
        <v>6.9000000000000006E-2</v>
      </c>
      <c r="I5" s="32">
        <v>8.5999999999999993E-2</v>
      </c>
      <c r="J5" s="32">
        <v>0.125</v>
      </c>
      <c r="K5" s="32">
        <v>4.0000000000000001E-3</v>
      </c>
      <c r="L5" s="32">
        <v>8.2000000000000003E-2</v>
      </c>
      <c r="M5" s="32">
        <v>0.12397478728959481</v>
      </c>
      <c r="N5" s="25">
        <v>4.9814323308482525E-2</v>
      </c>
      <c r="O5" s="25">
        <v>0.18640851812810072</v>
      </c>
      <c r="P5" s="25">
        <v>0.19511878067011146</v>
      </c>
      <c r="Q5" s="32">
        <v>0.1012091735062654</v>
      </c>
      <c r="R5" s="33">
        <v>0.106</v>
      </c>
      <c r="S5" s="33">
        <v>0.159</v>
      </c>
      <c r="T5" s="33">
        <v>8.5999999999999993E-2</v>
      </c>
      <c r="U5" s="183">
        <v>0.184</v>
      </c>
      <c r="V5" s="178">
        <v>7.2999999999999995E-2</v>
      </c>
      <c r="W5" s="33">
        <v>0.109</v>
      </c>
      <c r="X5" s="33">
        <v>0.11600000000000001</v>
      </c>
      <c r="Y5" s="33">
        <v>0.13</v>
      </c>
      <c r="Z5" s="33">
        <v>0.14000000000000001</v>
      </c>
      <c r="AA5" s="33">
        <v>0.218</v>
      </c>
      <c r="AB5" s="33">
        <v>3.1E-2</v>
      </c>
      <c r="AC5" s="33">
        <v>7.9000000000000001E-2</v>
      </c>
      <c r="AD5" s="33">
        <v>0.152</v>
      </c>
      <c r="AE5" s="52">
        <v>-0.19500000000000001</v>
      </c>
      <c r="AF5" s="52">
        <v>4.8000000000000001E-2</v>
      </c>
      <c r="AG5" s="52">
        <v>0.23300000000000001</v>
      </c>
      <c r="AH5" s="52">
        <v>0.26700000000000002</v>
      </c>
    </row>
    <row r="6" spans="1:34" ht="24" customHeight="1">
      <c r="A6" s="43" t="s">
        <v>121</v>
      </c>
      <c r="B6" s="131">
        <v>0.02</v>
      </c>
      <c r="C6" s="131">
        <v>1.2E-2</v>
      </c>
      <c r="D6" s="131">
        <v>1.2E-2</v>
      </c>
      <c r="E6" s="131">
        <v>1.0999999999999999E-2</v>
      </c>
      <c r="F6" s="131">
        <v>2.7E-2</v>
      </c>
      <c r="G6" s="131">
        <v>0.01</v>
      </c>
      <c r="H6" s="131">
        <v>1.4E-2</v>
      </c>
      <c r="I6" s="131">
        <v>1.7000000000000001E-2</v>
      </c>
      <c r="J6" s="131">
        <v>2.7E-2</v>
      </c>
      <c r="K6" s="131">
        <v>1E-3</v>
      </c>
      <c r="L6" s="131">
        <v>1.7999999999999999E-2</v>
      </c>
      <c r="M6" s="131">
        <v>2.8812421499415306E-2</v>
      </c>
      <c r="N6" s="132">
        <v>1.1917183662134363E-2</v>
      </c>
      <c r="O6" s="25">
        <v>4.2003746412012925E-2</v>
      </c>
      <c r="P6" s="25">
        <v>4.0904877339445672E-2</v>
      </c>
      <c r="Q6" s="131">
        <v>2.0444775354374257E-2</v>
      </c>
      <c r="R6" s="33">
        <v>2.3E-2</v>
      </c>
      <c r="S6" s="33">
        <v>3.4000000000000002E-2</v>
      </c>
      <c r="T6" s="33">
        <v>1.7000000000000001E-2</v>
      </c>
      <c r="U6" s="183">
        <v>3.6999999999999998E-2</v>
      </c>
      <c r="V6" s="179">
        <v>1.4999999999999999E-2</v>
      </c>
      <c r="W6" s="52">
        <v>2.1999999999999999E-2</v>
      </c>
      <c r="X6" s="52">
        <v>2.4E-2</v>
      </c>
      <c r="Y6" s="52">
        <v>2.7E-2</v>
      </c>
      <c r="Z6" s="52">
        <v>2.9000000000000001E-2</v>
      </c>
      <c r="AA6" s="52">
        <v>4.4999999999999998E-2</v>
      </c>
      <c r="AB6" s="52">
        <v>6.0000000000000001E-3</v>
      </c>
      <c r="AC6" s="52">
        <v>1.4999999999999999E-2</v>
      </c>
      <c r="AD6" s="52">
        <v>2.7E-2</v>
      </c>
      <c r="AE6" s="52">
        <v>-3.5000000000000003E-2</v>
      </c>
      <c r="AF6" s="52">
        <v>8.9999999999999993E-3</v>
      </c>
      <c r="AG6" s="52">
        <v>4.2000000000000003E-2</v>
      </c>
      <c r="AH6" s="52">
        <v>4.5999999999999999E-2</v>
      </c>
    </row>
    <row r="7" spans="1:34" ht="24" customHeight="1">
      <c r="A7" s="4" t="s">
        <v>139</v>
      </c>
      <c r="B7" s="32">
        <v>0.23799999999999999</v>
      </c>
      <c r="C7" s="131">
        <v>0.249</v>
      </c>
      <c r="D7" s="131">
        <v>0.248</v>
      </c>
      <c r="E7" s="131">
        <v>0.24099999999999999</v>
      </c>
      <c r="F7" s="32">
        <v>0.247</v>
      </c>
      <c r="G7" s="32">
        <v>0.26700000000000002</v>
      </c>
      <c r="H7" s="32">
        <v>0.26800000000000002</v>
      </c>
      <c r="I7" s="32">
        <v>0.27600000000000002</v>
      </c>
      <c r="J7" s="32">
        <v>0.27400000000000002</v>
      </c>
      <c r="K7" s="32">
        <v>0.30199999999999999</v>
      </c>
      <c r="L7" s="32">
        <v>0.29099999999999998</v>
      </c>
      <c r="M7" s="32">
        <v>0.28899999999999998</v>
      </c>
      <c r="N7" s="25">
        <v>0.312</v>
      </c>
      <c r="O7" s="25">
        <v>0.30399999999999999</v>
      </c>
      <c r="P7" s="25">
        <v>0.29199999999999998</v>
      </c>
      <c r="Q7" s="32">
        <v>0.28000000000000003</v>
      </c>
      <c r="R7" s="33">
        <v>0.26700000000000002</v>
      </c>
      <c r="S7" s="33">
        <v>0.29499999999999998</v>
      </c>
      <c r="T7" s="33">
        <v>0.27100000000000002</v>
      </c>
      <c r="U7" s="183">
        <v>0.26800000000000002</v>
      </c>
      <c r="V7" s="178">
        <v>0.248</v>
      </c>
      <c r="W7" s="33">
        <v>0.26700000000000002</v>
      </c>
      <c r="X7" s="33">
        <v>0.26200000000000001</v>
      </c>
      <c r="Y7" s="33">
        <v>0.25900000000000001</v>
      </c>
      <c r="Z7" s="33">
        <v>0.26600000000000001</v>
      </c>
      <c r="AA7" s="33">
        <v>0.251</v>
      </c>
      <c r="AB7" s="33">
        <v>0.24099999999999999</v>
      </c>
      <c r="AC7" s="52">
        <v>0.23300000000000001</v>
      </c>
      <c r="AD7" s="33">
        <v>0.221</v>
      </c>
      <c r="AE7" s="52">
        <v>0.214</v>
      </c>
      <c r="AF7" s="52">
        <v>0.23599999999999999</v>
      </c>
      <c r="AG7" s="52">
        <v>0.224</v>
      </c>
      <c r="AH7" s="52">
        <v>0.20399999999999999</v>
      </c>
    </row>
    <row r="8" spans="1:34" ht="24" customHeight="1">
      <c r="A8" s="4" t="s">
        <v>12</v>
      </c>
      <c r="B8" s="8">
        <v>10245</v>
      </c>
      <c r="C8" s="231">
        <v>10968</v>
      </c>
      <c r="D8" s="231">
        <v>10370</v>
      </c>
      <c r="E8" s="231">
        <v>9835</v>
      </c>
      <c r="F8" s="8">
        <v>9641</v>
      </c>
      <c r="G8" s="8">
        <v>9201</v>
      </c>
      <c r="H8" s="8">
        <v>8894</v>
      </c>
      <c r="I8" s="8">
        <v>10158</v>
      </c>
      <c r="J8" s="8">
        <v>8018</v>
      </c>
      <c r="K8" s="8">
        <v>8443</v>
      </c>
      <c r="L8" s="8">
        <v>8596</v>
      </c>
      <c r="M8" s="8">
        <v>10145</v>
      </c>
      <c r="N8" s="9">
        <v>7466</v>
      </c>
      <c r="O8" s="9">
        <v>7292</v>
      </c>
      <c r="P8" s="9">
        <v>8834</v>
      </c>
      <c r="Q8" s="8">
        <v>8929</v>
      </c>
      <c r="R8" s="10">
        <v>7269</v>
      </c>
      <c r="S8" s="10">
        <v>5776</v>
      </c>
      <c r="T8" s="10">
        <v>7057</v>
      </c>
      <c r="U8" s="184">
        <v>7385</v>
      </c>
      <c r="V8" s="180">
        <v>7855</v>
      </c>
      <c r="W8" s="10">
        <v>9977</v>
      </c>
      <c r="X8" s="10">
        <v>7340</v>
      </c>
      <c r="Y8" s="10">
        <v>7118</v>
      </c>
      <c r="Z8" s="10">
        <v>9879</v>
      </c>
      <c r="AA8" s="10">
        <v>9229</v>
      </c>
      <c r="AB8" s="10">
        <v>7782</v>
      </c>
      <c r="AC8" s="10">
        <v>10020</v>
      </c>
      <c r="AD8" s="10">
        <v>8553</v>
      </c>
      <c r="AE8" s="47">
        <v>8058</v>
      </c>
      <c r="AF8" s="47">
        <v>7742</v>
      </c>
      <c r="AG8" s="47">
        <v>9704</v>
      </c>
      <c r="AH8" s="47">
        <v>7145</v>
      </c>
    </row>
    <row r="9" spans="1:34" ht="24" customHeight="1">
      <c r="A9" s="43" t="s">
        <v>122</v>
      </c>
      <c r="B9" s="32">
        <v>2.5000000000000001E-2</v>
      </c>
      <c r="C9" s="131">
        <v>2.8000000000000001E-2</v>
      </c>
      <c r="D9" s="131">
        <v>2.7E-2</v>
      </c>
      <c r="E9" s="131">
        <v>2.7E-2</v>
      </c>
      <c r="F9" s="32">
        <v>2.7E-2</v>
      </c>
      <c r="G9" s="32">
        <v>2.5000000000000001E-2</v>
      </c>
      <c r="H9" s="32">
        <v>2.5000000000000001E-2</v>
      </c>
      <c r="I9" s="32">
        <v>2.9000000000000001E-2</v>
      </c>
      <c r="J9" s="32">
        <v>2.1999999999999999E-2</v>
      </c>
      <c r="K9" s="32">
        <v>2.1999999999999999E-2</v>
      </c>
      <c r="L9" s="32">
        <v>2.4E-2</v>
      </c>
      <c r="M9" s="131">
        <v>2.8000000000000001E-2</v>
      </c>
      <c r="N9" s="132">
        <v>1.9E-2</v>
      </c>
      <c r="O9" s="132">
        <v>1.9E-2</v>
      </c>
      <c r="P9" s="132">
        <v>2.361784956461584E-2</v>
      </c>
      <c r="Q9" s="32">
        <v>2.4407968204144138E-2</v>
      </c>
      <c r="R9" s="52">
        <v>0.02</v>
      </c>
      <c r="S9" s="52">
        <v>1.4999999999999999E-2</v>
      </c>
      <c r="T9" s="52">
        <v>1.7999999999999999E-2</v>
      </c>
      <c r="U9" s="185">
        <v>0.02</v>
      </c>
      <c r="V9" s="179">
        <v>2.1000000000000001E-2</v>
      </c>
      <c r="W9" s="52">
        <v>2.8000000000000001E-2</v>
      </c>
      <c r="X9" s="52">
        <v>1.9E-2</v>
      </c>
      <c r="Y9" s="52">
        <v>1.9E-2</v>
      </c>
      <c r="Z9" s="52">
        <v>2.9000000000000001E-2</v>
      </c>
      <c r="AA9" s="52">
        <v>2.7E-2</v>
      </c>
      <c r="AB9" s="52">
        <v>2.5000000000000001E-2</v>
      </c>
      <c r="AC9" s="52">
        <v>2.9000000000000001E-2</v>
      </c>
      <c r="AD9" s="52">
        <v>2.4E-2</v>
      </c>
      <c r="AE9" s="52">
        <v>2.3E-2</v>
      </c>
      <c r="AF9" s="52">
        <v>2.1999999999999999E-2</v>
      </c>
      <c r="AG9" s="52">
        <v>2.8000000000000001E-2</v>
      </c>
      <c r="AH9" s="52">
        <v>2.1000000000000001E-2</v>
      </c>
    </row>
    <row r="10" spans="1:34" ht="24" customHeight="1">
      <c r="A10" s="4" t="s">
        <v>123</v>
      </c>
      <c r="B10" s="32">
        <v>0.38700000000000001</v>
      </c>
      <c r="C10" s="131">
        <v>0.47299999999999998</v>
      </c>
      <c r="D10" s="131">
        <v>0.45900000000000002</v>
      </c>
      <c r="E10" s="131">
        <v>0.53600000000000003</v>
      </c>
      <c r="F10" s="32">
        <v>0.379</v>
      </c>
      <c r="G10" s="32">
        <v>0.50700000000000001</v>
      </c>
      <c r="H10" s="32">
        <v>0.48699999999999999</v>
      </c>
      <c r="I10" s="32">
        <v>0.436</v>
      </c>
      <c r="J10" s="32">
        <v>0.42499999999999999</v>
      </c>
      <c r="K10" s="32">
        <v>0.50700000000000001</v>
      </c>
      <c r="L10" s="32">
        <v>0.48899999999999999</v>
      </c>
      <c r="M10" s="32">
        <v>0.40764633980714382</v>
      </c>
      <c r="N10" s="25">
        <v>0.55800464037122965</v>
      </c>
      <c r="O10" s="25">
        <v>0.39088513209487691</v>
      </c>
      <c r="P10" s="25">
        <v>0.47934521768940691</v>
      </c>
      <c r="Q10" s="32">
        <v>0.41749186844958441</v>
      </c>
      <c r="R10" s="33">
        <v>0.48</v>
      </c>
      <c r="S10" s="33">
        <v>0.57699999999999996</v>
      </c>
      <c r="T10" s="33">
        <v>0.56200000000000006</v>
      </c>
      <c r="U10" s="183">
        <v>0.437</v>
      </c>
      <c r="V10" s="178">
        <v>0.72</v>
      </c>
      <c r="W10" s="33">
        <v>0.44800000000000001</v>
      </c>
      <c r="X10" s="33">
        <v>0.42899999999999999</v>
      </c>
      <c r="Y10" s="33">
        <v>0.496</v>
      </c>
      <c r="Z10" s="52">
        <v>0.36599999999999999</v>
      </c>
      <c r="AA10" s="52">
        <v>0.38400000000000001</v>
      </c>
      <c r="AB10" s="52">
        <v>0.57399999999999995</v>
      </c>
      <c r="AC10" s="52">
        <v>0.52200000000000002</v>
      </c>
      <c r="AD10" s="52">
        <v>0.38700000000000001</v>
      </c>
      <c r="AE10" s="52">
        <v>0.42699999999999999</v>
      </c>
      <c r="AF10" s="52">
        <v>0.46800000000000003</v>
      </c>
      <c r="AG10" s="52">
        <v>0.441</v>
      </c>
      <c r="AH10" s="52">
        <v>0.311</v>
      </c>
    </row>
    <row r="11" spans="1:34" ht="24" customHeight="1">
      <c r="A11" s="4" t="s">
        <v>68</v>
      </c>
      <c r="B11" s="14">
        <v>1.65</v>
      </c>
      <c r="C11" s="228">
        <v>1.66</v>
      </c>
      <c r="D11" s="228">
        <v>1.68</v>
      </c>
      <c r="E11" s="228">
        <v>1.65</v>
      </c>
      <c r="F11" s="14">
        <v>1.68</v>
      </c>
      <c r="G11" s="14">
        <v>1.79</v>
      </c>
      <c r="H11" s="14">
        <v>1.85</v>
      </c>
      <c r="I11" s="14">
        <v>1.69</v>
      </c>
      <c r="J11" s="14">
        <v>1.59</v>
      </c>
      <c r="K11" s="14">
        <v>1.54</v>
      </c>
      <c r="L11" s="14">
        <v>1.49</v>
      </c>
      <c r="M11" s="14">
        <v>1.45</v>
      </c>
      <c r="N11" s="15">
        <v>1.33</v>
      </c>
      <c r="O11" s="15">
        <v>1.36</v>
      </c>
      <c r="P11" s="15">
        <v>1.2</v>
      </c>
      <c r="Q11" s="14">
        <v>1.39</v>
      </c>
      <c r="R11" s="16">
        <v>1.42</v>
      </c>
      <c r="S11" s="16">
        <v>1.34</v>
      </c>
      <c r="T11" s="16" t="s">
        <v>3</v>
      </c>
      <c r="U11" s="186" t="s">
        <v>3</v>
      </c>
      <c r="V11" s="181" t="s">
        <v>3</v>
      </c>
      <c r="W11" s="16" t="s">
        <v>3</v>
      </c>
      <c r="X11" s="16" t="s">
        <v>3</v>
      </c>
      <c r="Y11" s="16" t="s">
        <v>3</v>
      </c>
      <c r="Z11" s="16" t="s">
        <v>3</v>
      </c>
      <c r="AA11" s="16" t="s">
        <v>3</v>
      </c>
      <c r="AB11" s="16" t="s">
        <v>3</v>
      </c>
      <c r="AC11" s="16" t="s">
        <v>3</v>
      </c>
      <c r="AD11" s="16" t="s">
        <v>3</v>
      </c>
      <c r="AE11" s="133" t="s">
        <v>3</v>
      </c>
      <c r="AF11" s="133" t="s">
        <v>3</v>
      </c>
      <c r="AG11" s="133" t="s">
        <v>3</v>
      </c>
      <c r="AH11" s="133" t="s">
        <v>3</v>
      </c>
    </row>
    <row r="12" spans="1:34" ht="24" customHeight="1">
      <c r="A12" s="4" t="s">
        <v>190</v>
      </c>
      <c r="B12" s="14">
        <v>2.4300000000000002</v>
      </c>
      <c r="C12" s="228">
        <v>1.58</v>
      </c>
      <c r="D12" s="228">
        <v>1.54</v>
      </c>
      <c r="E12" s="228">
        <v>1.64</v>
      </c>
      <c r="F12" s="14">
        <v>1.71</v>
      </c>
      <c r="G12" s="14">
        <v>1.57</v>
      </c>
      <c r="H12" s="14">
        <v>1.58</v>
      </c>
      <c r="I12" s="14">
        <v>1.83</v>
      </c>
      <c r="J12" s="14">
        <v>1.58</v>
      </c>
      <c r="K12" s="14">
        <v>1.28</v>
      </c>
      <c r="L12" s="14">
        <v>1.4</v>
      </c>
      <c r="M12" s="14">
        <v>1.23</v>
      </c>
      <c r="N12" s="15">
        <v>1.34</v>
      </c>
      <c r="O12" s="15">
        <v>1.1299999999999999</v>
      </c>
      <c r="P12" s="15">
        <v>1.0900000000000001</v>
      </c>
      <c r="Q12" s="14">
        <v>1.19</v>
      </c>
      <c r="R12" s="16">
        <v>1.18</v>
      </c>
      <c r="S12" s="16">
        <v>1.31</v>
      </c>
      <c r="T12" s="16">
        <v>1.08</v>
      </c>
      <c r="U12" s="186">
        <v>1.1000000000000001</v>
      </c>
      <c r="V12" s="181">
        <v>1.04</v>
      </c>
      <c r="W12" s="16">
        <v>1.02</v>
      </c>
      <c r="X12" s="16" t="s">
        <v>3</v>
      </c>
      <c r="Y12" s="16" t="s">
        <v>3</v>
      </c>
      <c r="Z12" s="16" t="s">
        <v>3</v>
      </c>
      <c r="AA12" s="16" t="s">
        <v>3</v>
      </c>
      <c r="AB12" s="16" t="s">
        <v>3</v>
      </c>
      <c r="AC12" s="16" t="s">
        <v>3</v>
      </c>
      <c r="AD12" s="16" t="s">
        <v>3</v>
      </c>
      <c r="AE12" s="133" t="s">
        <v>3</v>
      </c>
      <c r="AF12" s="133" t="s">
        <v>3</v>
      </c>
      <c r="AG12" s="133" t="s">
        <v>3</v>
      </c>
      <c r="AH12" s="133" t="s">
        <v>3</v>
      </c>
    </row>
    <row r="13" spans="1:34" ht="24" customHeight="1">
      <c r="A13" s="4" t="s">
        <v>69</v>
      </c>
      <c r="B13" s="14">
        <v>4.34</v>
      </c>
      <c r="C13" s="228">
        <v>5.34</v>
      </c>
      <c r="D13" s="228">
        <v>3.92</v>
      </c>
      <c r="E13" s="228">
        <v>7.43</v>
      </c>
      <c r="F13" s="228">
        <v>7.51</v>
      </c>
      <c r="G13" s="14">
        <v>9.31</v>
      </c>
      <c r="H13" s="14">
        <v>8.73</v>
      </c>
      <c r="I13" s="14">
        <v>4.7</v>
      </c>
      <c r="J13" s="14">
        <v>1.53</v>
      </c>
      <c r="K13" s="14">
        <v>7.43</v>
      </c>
      <c r="L13" s="14">
        <v>5.94</v>
      </c>
      <c r="M13" s="14">
        <v>6.84</v>
      </c>
      <c r="N13" s="15">
        <v>4.96</v>
      </c>
      <c r="O13" s="15">
        <v>3.6</v>
      </c>
      <c r="P13" s="15">
        <v>1.9</v>
      </c>
      <c r="Q13" s="14">
        <v>3.77</v>
      </c>
      <c r="R13" s="16">
        <v>3.79</v>
      </c>
      <c r="S13" s="16">
        <v>6.14</v>
      </c>
      <c r="T13" s="16">
        <v>2.2200000000000002</v>
      </c>
      <c r="U13" s="186">
        <v>2.08</v>
      </c>
      <c r="V13" s="181">
        <v>2.2400000000000002</v>
      </c>
      <c r="W13" s="16">
        <v>2.08</v>
      </c>
      <c r="X13" s="16" t="s">
        <v>3</v>
      </c>
      <c r="Y13" s="16" t="s">
        <v>3</v>
      </c>
      <c r="Z13" s="16" t="s">
        <v>3</v>
      </c>
      <c r="AA13" s="16" t="s">
        <v>3</v>
      </c>
      <c r="AB13" s="16" t="s">
        <v>3</v>
      </c>
      <c r="AC13" s="16" t="s">
        <v>3</v>
      </c>
      <c r="AD13" s="16" t="s">
        <v>3</v>
      </c>
      <c r="AE13" s="133" t="s">
        <v>3</v>
      </c>
      <c r="AF13" s="133" t="s">
        <v>3</v>
      </c>
      <c r="AG13" s="133" t="s">
        <v>3</v>
      </c>
      <c r="AH13" s="133" t="s">
        <v>4</v>
      </c>
    </row>
    <row r="14" spans="1:34" ht="24" customHeight="1">
      <c r="A14" s="43" t="s">
        <v>212</v>
      </c>
      <c r="B14" s="32">
        <v>0.02</v>
      </c>
      <c r="C14" s="131">
        <v>1.2E-2</v>
      </c>
      <c r="D14" s="131">
        <v>1.2E-2</v>
      </c>
      <c r="E14" s="131">
        <v>1.0999999999999999E-2</v>
      </c>
      <c r="F14" s="32">
        <v>2.7E-2</v>
      </c>
      <c r="G14" s="32">
        <v>0.01</v>
      </c>
      <c r="H14" s="32">
        <v>1.4E-2</v>
      </c>
      <c r="I14" s="32">
        <v>1.7000000000000001E-2</v>
      </c>
      <c r="J14" s="32">
        <v>2.7E-2</v>
      </c>
      <c r="K14" s="32">
        <v>1.4999999999999999E-2</v>
      </c>
      <c r="L14" s="32">
        <v>3.2000000000000001E-2</v>
      </c>
      <c r="M14" s="32">
        <v>2.5999999999999999E-2</v>
      </c>
      <c r="N14" s="25">
        <v>2.5999999999999999E-2</v>
      </c>
      <c r="O14" s="25"/>
      <c r="P14" s="25"/>
      <c r="Q14" s="32"/>
      <c r="R14" s="33"/>
      <c r="S14" s="33"/>
      <c r="T14" s="33"/>
      <c r="U14" s="183"/>
      <c r="V14" s="178">
        <v>2.1000000000000001E-2</v>
      </c>
      <c r="W14" s="33">
        <v>0.02</v>
      </c>
      <c r="X14" s="33">
        <v>1.7999999999999999E-2</v>
      </c>
      <c r="Y14" s="33">
        <v>2.1000000000000001E-2</v>
      </c>
      <c r="Z14" s="33">
        <v>2.1000000000000001E-2</v>
      </c>
      <c r="AA14" s="33">
        <v>2.4E-2</v>
      </c>
      <c r="AB14" s="33">
        <v>2.1999999999999999E-2</v>
      </c>
      <c r="AC14" s="33">
        <v>2.1999999999999999E-2</v>
      </c>
      <c r="AD14" s="33">
        <v>2.1000000000000001E-2</v>
      </c>
      <c r="AE14" s="52">
        <v>2.4E-2</v>
      </c>
      <c r="AF14" s="52">
        <v>1.6E-2</v>
      </c>
      <c r="AG14" s="52">
        <v>2.1999999999999999E-2</v>
      </c>
      <c r="AH14" s="52">
        <v>1.7000000000000001E-2</v>
      </c>
    </row>
    <row r="15" spans="1:34" ht="24" customHeight="1">
      <c r="A15" s="4" t="s">
        <v>70</v>
      </c>
      <c r="B15" s="8">
        <v>1379298</v>
      </c>
      <c r="C15" s="231">
        <v>1326041</v>
      </c>
      <c r="D15" s="231">
        <v>1317205</v>
      </c>
      <c r="E15" s="231">
        <v>1249853</v>
      </c>
      <c r="F15" s="8">
        <v>1206148</v>
      </c>
      <c r="G15" s="8">
        <v>1192870</v>
      </c>
      <c r="H15" s="8">
        <v>1198958</v>
      </c>
      <c r="I15" s="8">
        <v>1170628</v>
      </c>
      <c r="J15" s="8">
        <v>1182467</v>
      </c>
      <c r="K15" s="8">
        <v>1111157</v>
      </c>
      <c r="L15" s="8">
        <v>1133802</v>
      </c>
      <c r="M15" s="8">
        <v>1109844</v>
      </c>
      <c r="N15" s="9">
        <v>1106700</v>
      </c>
      <c r="O15" s="9">
        <v>1118658</v>
      </c>
      <c r="P15" s="9">
        <v>1175804</v>
      </c>
      <c r="Q15" s="8">
        <v>1172669</v>
      </c>
      <c r="R15" s="10">
        <v>1172380</v>
      </c>
      <c r="S15" s="10">
        <v>1098370</v>
      </c>
      <c r="T15" s="10">
        <v>1201247</v>
      </c>
      <c r="U15" s="184">
        <v>1154598</v>
      </c>
      <c r="V15" s="180">
        <v>1153804</v>
      </c>
      <c r="W15" s="10">
        <v>1151516</v>
      </c>
      <c r="X15" s="10">
        <v>1158154</v>
      </c>
      <c r="Y15" s="10">
        <v>1126094</v>
      </c>
      <c r="Z15" s="10">
        <v>1085405</v>
      </c>
      <c r="AA15" s="10">
        <v>1084787</v>
      </c>
      <c r="AB15" s="10">
        <v>1056825</v>
      </c>
      <c r="AC15" s="10">
        <v>1048573</v>
      </c>
      <c r="AD15" s="10">
        <v>1174262</v>
      </c>
      <c r="AE15" s="47">
        <v>1135482</v>
      </c>
      <c r="AF15" s="47">
        <v>1124250</v>
      </c>
      <c r="AG15" s="47">
        <v>1126281</v>
      </c>
      <c r="AH15" s="47">
        <v>1105590</v>
      </c>
    </row>
    <row r="16" spans="1:34" ht="24" customHeight="1">
      <c r="A16" s="4" t="s">
        <v>71</v>
      </c>
      <c r="B16" s="32">
        <v>1.5760000000000001</v>
      </c>
      <c r="C16" s="131">
        <v>1.536</v>
      </c>
      <c r="D16" s="131">
        <v>1.4990000000000001</v>
      </c>
      <c r="E16" s="131">
        <v>1.5109999999999999</v>
      </c>
      <c r="F16" s="32">
        <v>1.506</v>
      </c>
      <c r="G16" s="32">
        <v>1.53</v>
      </c>
      <c r="H16" s="32">
        <v>1.4179999999999999</v>
      </c>
      <c r="I16" s="32">
        <v>1.3859999999999999</v>
      </c>
      <c r="J16" s="32">
        <v>1.4670000000000001</v>
      </c>
      <c r="K16" s="32">
        <v>1.4470000000000001</v>
      </c>
      <c r="L16" s="32">
        <v>1.4350000000000001</v>
      </c>
      <c r="M16" s="32">
        <v>1.485596426987237</v>
      </c>
      <c r="N16" s="25">
        <v>1.4942352276562338</v>
      </c>
      <c r="O16" s="25">
        <v>1.4516546790901008</v>
      </c>
      <c r="P16" s="25">
        <v>1.2914098354359891</v>
      </c>
      <c r="Q16" s="32">
        <v>1.2258644204804008</v>
      </c>
      <c r="R16" s="33">
        <v>1.179</v>
      </c>
      <c r="S16" s="33">
        <v>1.3029999999999999</v>
      </c>
      <c r="T16" s="33">
        <v>1.446</v>
      </c>
      <c r="U16" s="183">
        <v>1.478</v>
      </c>
      <c r="V16" s="178">
        <v>1.4550000000000001</v>
      </c>
      <c r="W16" s="33">
        <v>1.49</v>
      </c>
      <c r="X16" s="33">
        <v>1.44</v>
      </c>
      <c r="Y16" s="33">
        <v>1.482</v>
      </c>
      <c r="Z16" s="33">
        <v>1.5309999999999999</v>
      </c>
      <c r="AA16" s="33">
        <v>1.5820000000000001</v>
      </c>
      <c r="AB16" s="33">
        <v>1.494</v>
      </c>
      <c r="AC16" s="33">
        <v>1.514</v>
      </c>
      <c r="AD16" s="52">
        <v>1.4359999999999999</v>
      </c>
      <c r="AE16" s="52">
        <v>1.4410000000000001</v>
      </c>
      <c r="AF16" s="52">
        <v>1.43</v>
      </c>
      <c r="AG16" s="52">
        <v>1.536</v>
      </c>
      <c r="AH16" s="52">
        <v>1.5209999999999999</v>
      </c>
    </row>
    <row r="17" spans="1:34" ht="24" customHeight="1">
      <c r="A17" s="4" t="s">
        <v>72</v>
      </c>
      <c r="B17" s="8">
        <v>922</v>
      </c>
      <c r="C17" s="231">
        <v>919</v>
      </c>
      <c r="D17" s="231">
        <v>948</v>
      </c>
      <c r="E17" s="231">
        <v>955</v>
      </c>
      <c r="F17" s="8">
        <v>998</v>
      </c>
      <c r="G17" s="8">
        <v>997</v>
      </c>
      <c r="H17" s="8">
        <v>998</v>
      </c>
      <c r="I17" s="8">
        <v>988</v>
      </c>
      <c r="J17" s="8">
        <v>1000</v>
      </c>
      <c r="K17" s="8">
        <v>1012</v>
      </c>
      <c r="L17" s="8">
        <v>1043</v>
      </c>
      <c r="M17" s="8">
        <v>1040</v>
      </c>
      <c r="N17" s="9">
        <v>1063</v>
      </c>
      <c r="O17" s="9">
        <v>1063</v>
      </c>
      <c r="P17" s="9">
        <v>1092</v>
      </c>
      <c r="Q17" s="8">
        <v>1088</v>
      </c>
      <c r="R17" s="10">
        <v>1102</v>
      </c>
      <c r="S17" s="10">
        <v>1126</v>
      </c>
      <c r="T17" s="10">
        <v>1166</v>
      </c>
      <c r="U17" s="184">
        <v>1162</v>
      </c>
      <c r="V17" s="180">
        <v>1178</v>
      </c>
      <c r="W17" s="10">
        <v>1183</v>
      </c>
      <c r="X17" s="10">
        <v>1179</v>
      </c>
      <c r="Y17" s="10">
        <v>1165</v>
      </c>
      <c r="Z17" s="10">
        <v>1209</v>
      </c>
      <c r="AA17" s="10">
        <v>1233</v>
      </c>
      <c r="AB17" s="10">
        <v>1252</v>
      </c>
      <c r="AC17" s="10">
        <v>1269</v>
      </c>
      <c r="AD17" s="47">
        <v>1308</v>
      </c>
      <c r="AE17" s="47">
        <v>1311</v>
      </c>
      <c r="AF17" s="47">
        <v>1297</v>
      </c>
      <c r="AG17" s="47">
        <v>1240</v>
      </c>
      <c r="AH17" s="47">
        <v>1261</v>
      </c>
    </row>
    <row r="18" spans="1:34" ht="7.5" customHeight="1"/>
    <row r="19" spans="1:34" ht="19.5" customHeight="1">
      <c r="A19" s="171" t="s">
        <v>125</v>
      </c>
      <c r="B19" s="171"/>
      <c r="C19" s="171"/>
      <c r="D19" s="171"/>
      <c r="E19" s="171"/>
      <c r="F19" s="171"/>
    </row>
    <row r="20" spans="1:34" ht="6" customHeight="1"/>
    <row r="21" spans="1:34">
      <c r="A21" s="73" t="s">
        <v>156</v>
      </c>
      <c r="B21" s="73"/>
      <c r="C21" s="73"/>
      <c r="D21" s="73"/>
      <c r="E21" s="73"/>
      <c r="F21" s="73"/>
    </row>
    <row r="22" spans="1:34">
      <c r="A22" s="73" t="s">
        <v>157</v>
      </c>
      <c r="B22" s="73"/>
      <c r="C22" s="73"/>
      <c r="D22" s="73"/>
      <c r="E22" s="73"/>
      <c r="F22" s="73"/>
    </row>
    <row r="23" spans="1:34">
      <c r="A23" s="73" t="s">
        <v>124</v>
      </c>
      <c r="B23" s="73"/>
      <c r="C23" s="73"/>
      <c r="D23" s="73"/>
      <c r="E23" s="73"/>
      <c r="F23" s="73"/>
    </row>
    <row r="24" spans="1:34">
      <c r="A24" s="73" t="s">
        <v>158</v>
      </c>
      <c r="B24" s="73"/>
      <c r="C24" s="73"/>
      <c r="D24" s="73"/>
      <c r="E24" s="73"/>
      <c r="F24" s="73"/>
      <c r="Q24" s="115"/>
    </row>
    <row r="25" spans="1:34">
      <c r="A25" s="73"/>
      <c r="B25" s="73"/>
      <c r="C25" s="73"/>
      <c r="D25" s="73"/>
      <c r="E25" s="73"/>
      <c r="F25" s="73"/>
    </row>
    <row r="26" spans="1:34" ht="9" customHeight="1"/>
    <row r="27" spans="1:34" ht="24" customHeight="1">
      <c r="A27" s="114" t="s">
        <v>9</v>
      </c>
      <c r="B27" s="114"/>
      <c r="C27" s="114"/>
      <c r="D27" s="114"/>
      <c r="E27" s="114"/>
      <c r="F27" s="114"/>
    </row>
    <row r="28" spans="1:34" ht="24" customHeight="1"/>
    <row r="29" spans="1:34" ht="24" customHeight="1"/>
    <row r="31" spans="1:34" ht="41.25" customHeight="1"/>
  </sheetData>
  <hyperlinks>
    <hyperlink ref="A27" location="Efnisyfirlit!Print_Area" display="Aftur í efnisyfirlit"/>
  </hyperlinks>
  <pageMargins left="0.70866141732283472" right="0.19685039370078741" top="0.74803149606299213" bottom="0.39370078740157483" header="0.31496062992125984" footer="0.19685039370078741"/>
  <pageSetup paperSize="9" scale="84" orientation="landscape" r:id="rId1"/>
  <headerFooter scaleWithDoc="0" alignWithMargins="0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H31"/>
  <sheetViews>
    <sheetView zoomScale="90" zoomScaleNormal="90" zoomScaleSheetLayoutView="90" zoomScalePageLayoutView="128" workbookViewId="0">
      <selection activeCell="E20" sqref="E20"/>
    </sheetView>
  </sheetViews>
  <sheetFormatPr defaultColWidth="11.5546875" defaultRowHeight="15" outlineLevelRow="1"/>
  <cols>
    <col min="1" max="1" width="28.6640625" style="54" customWidth="1"/>
    <col min="2" max="14" width="11.5546875" style="54"/>
    <col min="15" max="15" width="17.6640625" style="54" customWidth="1"/>
    <col min="16" max="16384" width="11.5546875" style="54"/>
  </cols>
  <sheetData>
    <row r="1" spans="1:8" ht="24" customHeight="1">
      <c r="A1" s="245" t="s">
        <v>216</v>
      </c>
      <c r="B1" s="249" t="s">
        <v>101</v>
      </c>
      <c r="C1" s="250"/>
      <c r="D1" s="250"/>
      <c r="E1" s="250"/>
      <c r="F1" s="250"/>
      <c r="G1" s="249" t="s">
        <v>99</v>
      </c>
      <c r="H1" s="251"/>
    </row>
    <row r="2" spans="1:8" ht="24" customHeight="1">
      <c r="A2" s="237" t="s">
        <v>11</v>
      </c>
      <c r="B2" s="252" t="s">
        <v>98</v>
      </c>
      <c r="C2" s="252" t="s">
        <v>80</v>
      </c>
      <c r="D2" s="252" t="s">
        <v>81</v>
      </c>
      <c r="E2" s="252" t="s">
        <v>82</v>
      </c>
      <c r="F2" s="252" t="s">
        <v>83</v>
      </c>
      <c r="G2" s="252" t="s">
        <v>100</v>
      </c>
      <c r="H2" s="253" t="s">
        <v>56</v>
      </c>
    </row>
    <row r="3" spans="1:8" ht="24" customHeight="1">
      <c r="A3" s="34" t="s">
        <v>12</v>
      </c>
      <c r="B3" s="151">
        <v>4017</v>
      </c>
      <c r="C3" s="151">
        <v>4765</v>
      </c>
      <c r="D3" s="232">
        <v>196</v>
      </c>
      <c r="E3" s="151">
        <v>1340</v>
      </c>
      <c r="F3" s="232">
        <v>-14</v>
      </c>
      <c r="G3" s="233">
        <v>-59</v>
      </c>
      <c r="H3" s="151">
        <f>SUM(B3:G3)</f>
        <v>10245</v>
      </c>
    </row>
    <row r="4" spans="1:8" ht="24" customHeight="1">
      <c r="A4" s="4" t="s">
        <v>114</v>
      </c>
      <c r="B4" s="27">
        <v>-224</v>
      </c>
      <c r="C4" s="27">
        <v>-768</v>
      </c>
      <c r="D4" s="27">
        <v>-1</v>
      </c>
      <c r="E4" s="27">
        <v>-1</v>
      </c>
      <c r="F4" s="27">
        <v>0</v>
      </c>
      <c r="G4" s="39">
        <v>0</v>
      </c>
      <c r="H4" s="27">
        <f>SUM(B4:G4)</f>
        <v>-994</v>
      </c>
    </row>
    <row r="5" spans="1:8" ht="24" customHeight="1">
      <c r="A5" s="4" t="s">
        <v>14</v>
      </c>
      <c r="B5" s="27">
        <v>980</v>
      </c>
      <c r="C5" s="27">
        <v>182</v>
      </c>
      <c r="D5" s="27">
        <v>959</v>
      </c>
      <c r="E5" s="27">
        <v>-111</v>
      </c>
      <c r="F5" s="27">
        <v>116</v>
      </c>
      <c r="G5" s="39">
        <v>-66</v>
      </c>
      <c r="H5" s="27">
        <f>SUM(B5:G5)</f>
        <v>2060</v>
      </c>
    </row>
    <row r="6" spans="1:8" ht="24" customHeight="1">
      <c r="A6" s="4" t="s">
        <v>113</v>
      </c>
      <c r="B6" s="27">
        <v>297</v>
      </c>
      <c r="C6" s="27">
        <v>61</v>
      </c>
      <c r="D6" s="27">
        <v>45</v>
      </c>
      <c r="E6" s="27">
        <v>3214</v>
      </c>
      <c r="F6" s="27">
        <v>135</v>
      </c>
      <c r="G6" s="39">
        <v>-30</v>
      </c>
      <c r="H6" s="27">
        <f>SUM(B6:G6)</f>
        <v>3722</v>
      </c>
    </row>
    <row r="7" spans="1:8" ht="24" customHeight="1">
      <c r="A7" s="22" t="s">
        <v>75</v>
      </c>
      <c r="B7" s="23">
        <f>SUM(B3:B6)</f>
        <v>5070</v>
      </c>
      <c r="C7" s="23">
        <f t="shared" ref="C7:G7" si="0">SUM(C3:C6)</f>
        <v>4240</v>
      </c>
      <c r="D7" s="23">
        <f t="shared" si="0"/>
        <v>1199</v>
      </c>
      <c r="E7" s="23">
        <f t="shared" si="0"/>
        <v>4442</v>
      </c>
      <c r="F7" s="23">
        <f t="shared" si="0"/>
        <v>237</v>
      </c>
      <c r="G7" s="23">
        <f t="shared" si="0"/>
        <v>-155</v>
      </c>
      <c r="H7" s="23">
        <f>SUM(H3:H6)</f>
        <v>15033</v>
      </c>
    </row>
    <row r="8" spans="1:8" ht="24" customHeight="1">
      <c r="A8" s="4" t="s">
        <v>20</v>
      </c>
      <c r="B8" s="27">
        <v>-1555</v>
      </c>
      <c r="C8" s="27">
        <v>-534</v>
      </c>
      <c r="D8" s="27">
        <v>-604</v>
      </c>
      <c r="E8" s="27">
        <v>-512</v>
      </c>
      <c r="F8" s="27">
        <v>-3068</v>
      </c>
      <c r="G8" s="39">
        <v>71</v>
      </c>
      <c r="H8" s="27">
        <f>SUM(B8:G8)</f>
        <v>-6202</v>
      </c>
    </row>
    <row r="9" spans="1:8" ht="24" hidden="1" customHeight="1" outlineLevel="1">
      <c r="A9" s="221" t="s">
        <v>21</v>
      </c>
      <c r="B9" s="224">
        <v>0</v>
      </c>
      <c r="C9" s="224">
        <v>0</v>
      </c>
      <c r="D9" s="224">
        <v>0</v>
      </c>
      <c r="E9" s="224">
        <v>0</v>
      </c>
      <c r="F9" s="224">
        <v>0</v>
      </c>
      <c r="G9" s="225">
        <v>0</v>
      </c>
      <c r="H9" s="224">
        <v>0</v>
      </c>
    </row>
    <row r="10" spans="1:8" ht="24" customHeight="1" collapsed="1">
      <c r="A10" s="22" t="s">
        <v>76</v>
      </c>
      <c r="B10" s="23">
        <f>SUM(B7:B8)</f>
        <v>3515</v>
      </c>
      <c r="C10" s="23">
        <f>SUM(C7:C8)</f>
        <v>3706</v>
      </c>
      <c r="D10" s="23">
        <f>SUM(D7:D8)</f>
        <v>595</v>
      </c>
      <c r="E10" s="23">
        <f t="shared" ref="E10:F10" si="1">SUM(E7:E8)</f>
        <v>3930</v>
      </c>
      <c r="F10" s="23">
        <f t="shared" si="1"/>
        <v>-2831</v>
      </c>
      <c r="G10" s="23">
        <f>SUM(G7:G8)</f>
        <v>-84</v>
      </c>
      <c r="H10" s="23">
        <f>SUM(H7:H8)</f>
        <v>8831</v>
      </c>
    </row>
    <row r="11" spans="1:8" ht="24" customHeight="1">
      <c r="A11" s="4" t="s">
        <v>77</v>
      </c>
      <c r="B11" s="27">
        <v>-1157</v>
      </c>
      <c r="C11" s="27">
        <v>-693</v>
      </c>
      <c r="D11" s="27">
        <v>-374</v>
      </c>
      <c r="E11" s="27">
        <v>-216</v>
      </c>
      <c r="F11" s="27">
        <v>2440</v>
      </c>
      <c r="G11" s="39">
        <v>0</v>
      </c>
      <c r="H11" s="27">
        <v>0</v>
      </c>
    </row>
    <row r="12" spans="1:8" ht="24" customHeight="1">
      <c r="A12" s="22" t="s">
        <v>22</v>
      </c>
      <c r="B12" s="23">
        <f>SUM(B10:B11)</f>
        <v>2358</v>
      </c>
      <c r="C12" s="23">
        <f t="shared" ref="C12:H12" si="2">SUM(C10:C11)</f>
        <v>3013</v>
      </c>
      <c r="D12" s="23">
        <f t="shared" si="2"/>
        <v>221</v>
      </c>
      <c r="E12" s="23">
        <f t="shared" si="2"/>
        <v>3714</v>
      </c>
      <c r="F12" s="23">
        <f t="shared" si="2"/>
        <v>-391</v>
      </c>
      <c r="G12" s="23">
        <f t="shared" si="2"/>
        <v>-84</v>
      </c>
      <c r="H12" s="23">
        <f t="shared" si="2"/>
        <v>8831</v>
      </c>
    </row>
    <row r="13" spans="1:8" ht="24" customHeight="1" thickBot="1">
      <c r="A13" s="61"/>
      <c r="B13" s="170"/>
      <c r="C13" s="170"/>
      <c r="D13" s="170"/>
      <c r="E13" s="170"/>
      <c r="F13" s="170"/>
      <c r="G13" s="170"/>
      <c r="H13" s="170"/>
    </row>
    <row r="14" spans="1:8" ht="24" customHeight="1" thickTop="1">
      <c r="A14" s="1" t="s">
        <v>70</v>
      </c>
      <c r="B14" s="26">
        <v>471766</v>
      </c>
      <c r="C14" s="26">
        <v>588798</v>
      </c>
      <c r="D14" s="26">
        <v>12697</v>
      </c>
      <c r="E14" s="26">
        <v>564043</v>
      </c>
      <c r="F14" s="26">
        <v>22549</v>
      </c>
      <c r="G14" s="41">
        <v>-280555</v>
      </c>
      <c r="H14" s="26">
        <f>SUM(B14:G14)</f>
        <v>1379298</v>
      </c>
    </row>
    <row r="15" spans="1:8" ht="24" customHeight="1">
      <c r="A15" s="4" t="s">
        <v>78</v>
      </c>
      <c r="B15" s="27">
        <v>432994</v>
      </c>
      <c r="C15" s="27">
        <v>483933</v>
      </c>
      <c r="D15" s="27">
        <v>4591</v>
      </c>
      <c r="E15" s="27">
        <v>469580</v>
      </c>
      <c r="F15" s="27">
        <v>22549</v>
      </c>
      <c r="G15" s="39">
        <v>-280555</v>
      </c>
      <c r="H15" s="27">
        <f>SUM(B15:G15)</f>
        <v>1133092</v>
      </c>
    </row>
    <row r="16" spans="1:8" ht="24" customHeight="1">
      <c r="A16" s="4" t="s">
        <v>79</v>
      </c>
      <c r="B16" s="27">
        <v>38772</v>
      </c>
      <c r="C16" s="27">
        <v>104865</v>
      </c>
      <c r="D16" s="27">
        <v>8106</v>
      </c>
      <c r="E16" s="27">
        <v>94463</v>
      </c>
      <c r="F16" s="42">
        <v>0</v>
      </c>
      <c r="G16" s="38">
        <v>0</v>
      </c>
      <c r="H16" s="27">
        <f>SUM(B16:G16)</f>
        <v>246206</v>
      </c>
    </row>
    <row r="17" spans="1:1" ht="24" customHeight="1"/>
    <row r="18" spans="1:1" ht="24" customHeight="1">
      <c r="A18" s="114" t="s">
        <v>9</v>
      </c>
    </row>
    <row r="19" spans="1:1" ht="24" customHeight="1"/>
    <row r="20" spans="1:1" ht="24" customHeight="1"/>
    <row r="31" spans="1:1" ht="41.25" customHeight="1"/>
  </sheetData>
  <hyperlinks>
    <hyperlink ref="A1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42"/>
  <sheetViews>
    <sheetView zoomScale="80" zoomScaleNormal="80" zoomScaleSheetLayoutView="90" zoomScalePageLayoutView="128" workbookViewId="0">
      <selection activeCell="E20" sqref="E20"/>
    </sheetView>
  </sheetViews>
  <sheetFormatPr defaultColWidth="11.5546875" defaultRowHeight="15"/>
  <cols>
    <col min="1" max="1" width="37.77734375" style="54" customWidth="1"/>
    <col min="2" max="14" width="11.5546875" style="54"/>
    <col min="15" max="15" width="17.6640625" style="54" customWidth="1"/>
    <col min="16" max="16384" width="11.5546875" style="54"/>
  </cols>
  <sheetData>
    <row r="1" spans="1:10" ht="24" customHeight="1">
      <c r="A1" s="77" t="s">
        <v>161</v>
      </c>
      <c r="B1" s="160"/>
      <c r="C1" s="159"/>
      <c r="D1" s="159"/>
      <c r="E1" s="159"/>
      <c r="F1" s="159"/>
      <c r="G1" s="160"/>
      <c r="H1" s="159"/>
    </row>
    <row r="2" spans="1:10" ht="24" customHeight="1">
      <c r="A2" s="140"/>
      <c r="B2" s="158"/>
      <c r="C2" s="158"/>
      <c r="D2" s="158"/>
      <c r="E2" s="158"/>
      <c r="F2" s="158"/>
      <c r="G2" s="158"/>
      <c r="H2" s="158"/>
    </row>
    <row r="3" spans="1:10" ht="6.75" customHeight="1"/>
    <row r="4" spans="1:10" ht="24" customHeight="1" thickBot="1">
      <c r="A4" s="138" t="s">
        <v>161</v>
      </c>
      <c r="B4" s="138" t="s">
        <v>162</v>
      </c>
      <c r="C4" s="86"/>
      <c r="D4" s="86"/>
      <c r="E4" s="86"/>
      <c r="F4" s="130"/>
      <c r="G4" s="130"/>
      <c r="H4" s="130"/>
    </row>
    <row r="5" spans="1:10" ht="20.25" customHeight="1" thickTop="1">
      <c r="A5" s="89" t="s">
        <v>66</v>
      </c>
      <c r="B5" s="89" t="s">
        <v>201</v>
      </c>
      <c r="C5" s="89"/>
      <c r="D5" s="89"/>
      <c r="E5" s="89"/>
      <c r="F5" s="89"/>
      <c r="G5" s="89"/>
      <c r="H5" s="89"/>
    </row>
    <row r="6" spans="1:10" ht="5.25" customHeight="1">
      <c r="A6" s="89"/>
      <c r="B6" s="89"/>
      <c r="C6" s="89"/>
      <c r="D6" s="89"/>
      <c r="E6" s="89"/>
      <c r="F6" s="89"/>
      <c r="G6" s="89"/>
      <c r="H6" s="89"/>
    </row>
    <row r="7" spans="1:10" ht="20.25" customHeight="1">
      <c r="A7" s="89" t="s">
        <v>67</v>
      </c>
      <c r="B7" s="89" t="s">
        <v>202</v>
      </c>
      <c r="C7" s="89"/>
      <c r="D7" s="89"/>
      <c r="E7" s="89"/>
      <c r="F7" s="89"/>
      <c r="G7" s="89"/>
      <c r="H7" s="89"/>
    </row>
    <row r="8" spans="1:10" ht="5.25" customHeight="1">
      <c r="A8" s="89"/>
      <c r="B8" s="89"/>
      <c r="C8" s="89"/>
      <c r="D8" s="89"/>
      <c r="E8" s="89"/>
      <c r="F8" s="89"/>
      <c r="G8" s="89"/>
      <c r="H8" s="89"/>
    </row>
    <row r="9" spans="1:10" ht="20.25" customHeight="1">
      <c r="A9" s="89" t="s">
        <v>139</v>
      </c>
      <c r="B9" s="89" t="s">
        <v>197</v>
      </c>
      <c r="C9" s="89"/>
      <c r="D9" s="89"/>
      <c r="E9" s="89"/>
      <c r="F9" s="89"/>
      <c r="G9" s="89"/>
      <c r="H9" s="89"/>
      <c r="I9" s="212"/>
      <c r="J9" s="85"/>
    </row>
    <row r="10" spans="1:10" ht="5.25" customHeight="1">
      <c r="A10" s="89"/>
      <c r="B10" s="89"/>
      <c r="C10" s="89"/>
      <c r="D10" s="89"/>
      <c r="E10" s="89"/>
      <c r="F10" s="89"/>
      <c r="G10" s="89"/>
      <c r="H10" s="89"/>
      <c r="I10" s="211"/>
      <c r="J10" s="85"/>
    </row>
    <row r="11" spans="1:10" ht="21" customHeight="1">
      <c r="A11" s="89" t="s">
        <v>177</v>
      </c>
      <c r="B11" s="89" t="s">
        <v>196</v>
      </c>
      <c r="C11" s="89"/>
      <c r="D11" s="89"/>
      <c r="E11" s="89"/>
      <c r="F11" s="89"/>
      <c r="G11" s="89"/>
      <c r="H11" s="89"/>
    </row>
    <row r="12" spans="1:10" ht="5.25" customHeight="1">
      <c r="A12" s="89"/>
      <c r="B12" s="89"/>
      <c r="C12" s="89"/>
      <c r="D12" s="89"/>
      <c r="E12" s="89"/>
      <c r="F12" s="89"/>
      <c r="G12" s="89"/>
      <c r="H12" s="89"/>
      <c r="I12" s="211"/>
      <c r="J12" s="85"/>
    </row>
    <row r="13" spans="1:10" ht="20.25" customHeight="1">
      <c r="A13" s="89" t="s">
        <v>163</v>
      </c>
      <c r="B13" s="89" t="s">
        <v>164</v>
      </c>
      <c r="C13" s="89"/>
      <c r="D13" s="89"/>
      <c r="E13" s="89"/>
      <c r="F13" s="89"/>
      <c r="G13" s="89"/>
      <c r="H13" s="89"/>
      <c r="I13" s="212"/>
      <c r="J13" s="85"/>
    </row>
    <row r="14" spans="1:10" ht="5.25" customHeight="1">
      <c r="A14" s="89"/>
      <c r="B14" s="89"/>
      <c r="C14" s="89"/>
      <c r="D14" s="89"/>
      <c r="E14" s="89"/>
      <c r="F14" s="89"/>
      <c r="G14" s="89"/>
      <c r="H14" s="89"/>
      <c r="I14" s="212"/>
      <c r="J14" s="85"/>
    </row>
    <row r="15" spans="1:10" ht="20.25" customHeight="1">
      <c r="A15" s="89" t="s">
        <v>212</v>
      </c>
      <c r="B15" s="89" t="s">
        <v>211</v>
      </c>
      <c r="C15" s="89"/>
      <c r="D15" s="89"/>
      <c r="E15" s="89"/>
      <c r="F15" s="89"/>
      <c r="G15" s="89"/>
      <c r="H15" s="89"/>
      <c r="I15" s="212"/>
      <c r="J15" s="85"/>
    </row>
    <row r="16" spans="1:10" ht="5.25" customHeight="1">
      <c r="A16" s="89"/>
      <c r="B16" s="89"/>
      <c r="C16" s="89"/>
      <c r="D16" s="89"/>
      <c r="E16" s="89"/>
      <c r="F16" s="89"/>
      <c r="G16" s="89"/>
      <c r="H16" s="89"/>
      <c r="I16" s="208"/>
      <c r="J16" s="85"/>
    </row>
    <row r="17" spans="1:10" ht="21" customHeight="1">
      <c r="A17" s="89" t="s">
        <v>148</v>
      </c>
      <c r="B17" s="89" t="s">
        <v>165</v>
      </c>
      <c r="C17" s="89"/>
      <c r="D17" s="89"/>
      <c r="E17" s="89"/>
      <c r="F17" s="89"/>
      <c r="G17" s="89"/>
      <c r="H17" s="89"/>
      <c r="I17" s="211"/>
      <c r="J17" s="85"/>
    </row>
    <row r="18" spans="1:10" ht="5.25" customHeight="1">
      <c r="A18" s="89"/>
      <c r="B18" s="89"/>
      <c r="C18" s="89"/>
      <c r="D18" s="89"/>
      <c r="E18" s="89"/>
      <c r="F18" s="89"/>
      <c r="G18" s="89"/>
      <c r="H18" s="89"/>
      <c r="I18" s="211"/>
      <c r="J18" s="85"/>
    </row>
    <row r="19" spans="1:10" ht="21" customHeight="1">
      <c r="A19" s="213" t="s">
        <v>166</v>
      </c>
      <c r="B19" s="89" t="s">
        <v>167</v>
      </c>
      <c r="C19" s="89"/>
      <c r="D19" s="89"/>
      <c r="E19" s="89"/>
      <c r="F19" s="89"/>
      <c r="G19" s="89"/>
      <c r="H19" s="89"/>
      <c r="I19" s="209"/>
      <c r="J19" s="85"/>
    </row>
    <row r="20" spans="1:10" ht="5.25" customHeight="1">
      <c r="A20" s="89"/>
      <c r="B20" s="89"/>
      <c r="C20" s="89"/>
      <c r="D20" s="89"/>
      <c r="E20" s="89"/>
      <c r="F20" s="89"/>
      <c r="G20" s="89"/>
      <c r="H20" s="89"/>
      <c r="I20" s="85"/>
      <c r="J20" s="85"/>
    </row>
    <row r="21" spans="1:10" ht="20.25" customHeight="1">
      <c r="A21" s="89" t="s">
        <v>168</v>
      </c>
      <c r="B21" s="89" t="s">
        <v>169</v>
      </c>
      <c r="C21" s="89"/>
      <c r="D21" s="89"/>
      <c r="E21" s="89"/>
      <c r="F21" s="89"/>
      <c r="G21" s="89"/>
      <c r="H21" s="89"/>
      <c r="I21" s="85"/>
      <c r="J21" s="85"/>
    </row>
    <row r="22" spans="1:10" ht="5.25" customHeight="1">
      <c r="A22" s="89"/>
      <c r="B22" s="89"/>
      <c r="C22" s="89"/>
      <c r="D22" s="89"/>
      <c r="E22" s="89"/>
      <c r="F22" s="89"/>
      <c r="G22" s="89"/>
      <c r="H22" s="89"/>
      <c r="I22" s="85"/>
      <c r="J22" s="85"/>
    </row>
    <row r="23" spans="1:10" ht="20.25" customHeight="1">
      <c r="A23" s="89" t="s">
        <v>210</v>
      </c>
      <c r="B23" s="89" t="s">
        <v>183</v>
      </c>
      <c r="C23" s="89"/>
      <c r="D23" s="89"/>
      <c r="E23" s="89"/>
      <c r="F23" s="89"/>
      <c r="G23" s="89"/>
      <c r="H23" s="89"/>
    </row>
    <row r="24" spans="1:10" ht="5.25" customHeight="1">
      <c r="A24" s="89"/>
      <c r="B24" s="89"/>
      <c r="C24" s="89"/>
      <c r="D24" s="89"/>
      <c r="E24" s="89"/>
      <c r="F24" s="89"/>
      <c r="G24" s="89"/>
      <c r="H24" s="89"/>
    </row>
    <row r="25" spans="1:10" ht="21" customHeight="1">
      <c r="A25" s="89" t="s">
        <v>170</v>
      </c>
      <c r="B25" s="89" t="s">
        <v>191</v>
      </c>
      <c r="C25" s="89"/>
      <c r="D25" s="89"/>
      <c r="E25" s="89"/>
      <c r="F25" s="89"/>
      <c r="G25" s="89"/>
      <c r="H25" s="89"/>
    </row>
    <row r="26" spans="1:10" ht="5.25" customHeight="1">
      <c r="A26" s="89"/>
      <c r="B26" s="89"/>
      <c r="C26" s="89"/>
      <c r="D26" s="89"/>
      <c r="E26" s="89"/>
      <c r="F26" s="89"/>
      <c r="G26" s="89"/>
      <c r="H26" s="89"/>
    </row>
    <row r="27" spans="1:10" ht="21" customHeight="1">
      <c r="A27" s="89" t="s">
        <v>171</v>
      </c>
      <c r="B27" s="89" t="s">
        <v>172</v>
      </c>
      <c r="C27" s="89"/>
      <c r="D27" s="89"/>
      <c r="E27" s="89"/>
      <c r="F27" s="89"/>
      <c r="G27" s="89"/>
      <c r="H27" s="89"/>
    </row>
    <row r="28" spans="1:10" ht="5.25" customHeight="1">
      <c r="A28" s="89"/>
      <c r="B28" s="89"/>
      <c r="C28" s="89"/>
      <c r="D28" s="89"/>
      <c r="E28" s="89"/>
      <c r="F28" s="89"/>
      <c r="G28" s="89"/>
      <c r="H28" s="89"/>
    </row>
    <row r="29" spans="1:10" ht="21.75" customHeight="1">
      <c r="A29" s="89" t="s">
        <v>173</v>
      </c>
      <c r="B29" s="89" t="s">
        <v>174</v>
      </c>
      <c r="C29" s="89"/>
      <c r="D29" s="89"/>
      <c r="E29" s="89"/>
      <c r="F29" s="89"/>
      <c r="G29" s="89"/>
      <c r="H29" s="89"/>
    </row>
    <row r="30" spans="1:10" ht="5.25" customHeight="1">
      <c r="A30" s="89"/>
      <c r="B30" s="89"/>
      <c r="C30" s="89"/>
      <c r="D30" s="89"/>
      <c r="E30" s="89"/>
      <c r="F30" s="89"/>
      <c r="G30" s="89"/>
      <c r="H30" s="89"/>
    </row>
    <row r="31" spans="1:10" ht="21" customHeight="1">
      <c r="A31" s="89" t="s">
        <v>175</v>
      </c>
      <c r="B31" s="89" t="s">
        <v>176</v>
      </c>
      <c r="C31" s="89"/>
      <c r="D31" s="89"/>
      <c r="E31" s="89"/>
      <c r="F31" s="89"/>
      <c r="G31" s="89"/>
      <c r="H31" s="89"/>
    </row>
    <row r="32" spans="1:10" ht="5.25" customHeight="1">
      <c r="A32" s="89"/>
      <c r="B32" s="89"/>
      <c r="C32" s="89"/>
      <c r="D32" s="89"/>
      <c r="E32" s="89"/>
      <c r="F32" s="89"/>
      <c r="G32" s="89"/>
      <c r="H32" s="89"/>
    </row>
    <row r="33" spans="1:8" ht="21" customHeight="1">
      <c r="A33" s="89" t="s">
        <v>186</v>
      </c>
      <c r="B33" s="89" t="s">
        <v>192</v>
      </c>
      <c r="C33" s="89"/>
      <c r="D33" s="89"/>
      <c r="E33" s="89"/>
      <c r="F33" s="89"/>
      <c r="G33" s="89"/>
      <c r="H33" s="89"/>
    </row>
    <row r="34" spans="1:8" ht="5.25" customHeight="1">
      <c r="A34" s="89"/>
      <c r="B34" s="303" t="s">
        <v>198</v>
      </c>
      <c r="C34" s="303"/>
      <c r="D34" s="303"/>
      <c r="E34" s="303"/>
      <c r="F34" s="303"/>
      <c r="G34" s="303"/>
      <c r="H34" s="303"/>
    </row>
    <row r="35" spans="1:8" ht="20.25" customHeight="1">
      <c r="A35" s="89" t="s">
        <v>187</v>
      </c>
      <c r="B35" s="303"/>
      <c r="C35" s="303"/>
      <c r="D35" s="303"/>
      <c r="E35" s="303"/>
      <c r="F35" s="303"/>
      <c r="G35" s="303"/>
      <c r="H35" s="303"/>
    </row>
    <row r="36" spans="1:8" ht="5.25" customHeight="1">
      <c r="A36" s="89"/>
      <c r="B36" s="89"/>
      <c r="C36" s="89"/>
      <c r="D36" s="89"/>
      <c r="E36" s="89"/>
      <c r="F36" s="89"/>
      <c r="G36" s="89"/>
      <c r="H36" s="89"/>
    </row>
    <row r="37" spans="1:8" ht="21" customHeight="1">
      <c r="A37" s="89" t="s">
        <v>178</v>
      </c>
      <c r="B37" s="89" t="s">
        <v>199</v>
      </c>
      <c r="C37" s="89"/>
      <c r="D37" s="89"/>
      <c r="E37" s="89"/>
      <c r="F37" s="89"/>
      <c r="G37" s="89"/>
      <c r="H37" s="89"/>
    </row>
    <row r="38" spans="1:8" ht="5.25" customHeight="1">
      <c r="A38" s="89"/>
      <c r="B38" s="89"/>
      <c r="C38" s="89"/>
      <c r="D38" s="89"/>
      <c r="E38" s="89"/>
      <c r="F38" s="89"/>
      <c r="G38" s="89"/>
      <c r="H38" s="89"/>
    </row>
    <row r="39" spans="1:8" ht="21" customHeight="1">
      <c r="A39" s="89" t="s">
        <v>179</v>
      </c>
      <c r="B39" s="89" t="s">
        <v>180</v>
      </c>
      <c r="C39" s="89"/>
      <c r="D39" s="89"/>
      <c r="E39" s="89"/>
      <c r="F39" s="89"/>
      <c r="G39" s="89"/>
      <c r="H39" s="89"/>
    </row>
    <row r="40" spans="1:8" ht="8.25" customHeight="1"/>
    <row r="41" spans="1:8" ht="6.75" customHeight="1"/>
    <row r="42" spans="1:8" ht="15.75">
      <c r="A42" s="114" t="s">
        <v>9</v>
      </c>
    </row>
  </sheetData>
  <mergeCells count="1">
    <mergeCell ref="B34:H35"/>
  </mergeCells>
  <hyperlinks>
    <hyperlink ref="A42" location="Efnisyfirlit!Print_Area" display="Aftur í efnisyfirlit"/>
  </hyperlinks>
  <pageMargins left="0.70866141732283472" right="0.19685039370078741" top="0.74803149606299213" bottom="0.19685039370078741" header="0.31496062992125984" footer="0.19685039370078741"/>
  <pageSetup paperSize="9" scale="85" orientation="landscape" r:id="rId1"/>
  <headerFooter scaleWithDoc="0" alignWithMargins="0"/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21" sqref="J21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zoomScale="80" zoomScaleNormal="80" zoomScaleSheetLayoutView="86" workbookViewId="0">
      <selection activeCell="E20" sqref="E20"/>
    </sheetView>
  </sheetViews>
  <sheetFormatPr defaultRowHeight="15"/>
  <cols>
    <col min="1" max="1" width="8.88671875" style="54"/>
    <col min="2" max="2" width="8.88671875" style="54" customWidth="1"/>
    <col min="3" max="14" width="8.88671875" style="54"/>
    <col min="15" max="15" width="17.6640625" style="54" customWidth="1"/>
    <col min="16" max="16384" width="8.88671875" style="54"/>
  </cols>
  <sheetData>
    <row r="1" spans="1:12" ht="24" customHeight="1">
      <c r="A1" s="77" t="s">
        <v>10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24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5.75" thickBo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5.75" thickTop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>
      <c r="A5" s="62" t="s">
        <v>90</v>
      </c>
    </row>
    <row r="6" spans="1:12">
      <c r="A6" s="62"/>
    </row>
    <row r="7" spans="1:12">
      <c r="A7" s="62" t="s">
        <v>89</v>
      </c>
    </row>
    <row r="8" spans="1:12">
      <c r="A8" s="62"/>
    </row>
    <row r="9" spans="1:12">
      <c r="A9" s="62" t="s">
        <v>131</v>
      </c>
    </row>
    <row r="10" spans="1:12">
      <c r="A10" s="62"/>
    </row>
    <row r="11" spans="1:12">
      <c r="A11" s="62" t="s">
        <v>108</v>
      </c>
    </row>
    <row r="12" spans="1:12">
      <c r="A12" s="62"/>
    </row>
    <row r="13" spans="1:12">
      <c r="A13" s="62" t="s">
        <v>109</v>
      </c>
    </row>
    <row r="14" spans="1:12">
      <c r="A14" s="62"/>
    </row>
    <row r="15" spans="1:12">
      <c r="A15" s="62" t="s">
        <v>110</v>
      </c>
    </row>
    <row r="16" spans="1:12">
      <c r="A16" s="62"/>
    </row>
    <row r="17" spans="1:12">
      <c r="A17" s="62" t="s">
        <v>115</v>
      </c>
    </row>
    <row r="18" spans="1:12">
      <c r="A18" s="62"/>
    </row>
    <row r="19" spans="1:12">
      <c r="A19" s="62" t="s">
        <v>111</v>
      </c>
    </row>
    <row r="20" spans="1:12">
      <c r="A20" s="62"/>
    </row>
    <row r="21" spans="1:12">
      <c r="A21" s="62" t="s">
        <v>112</v>
      </c>
    </row>
    <row r="22" spans="1:12">
      <c r="A22" s="62"/>
    </row>
    <row r="23" spans="1:12">
      <c r="A23" s="62" t="s">
        <v>84</v>
      </c>
    </row>
    <row r="24" spans="1:12">
      <c r="A24" s="62"/>
    </row>
    <row r="25" spans="1:12">
      <c r="A25" s="62" t="s">
        <v>161</v>
      </c>
    </row>
    <row r="26" spans="1:12" ht="15.75" thickBo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1:12" ht="15.75" thickTop="1"/>
    <row r="31" spans="1:12" ht="41.25" customHeight="1"/>
  </sheetData>
  <hyperlinks>
    <hyperlink ref="A15" location="'Efnahagur - ár'!Print_Area" display="Efnahagur - ár"/>
    <hyperlink ref="A23" location="Starfsþættir!Print_Area" display="Starfsþættir"/>
    <hyperlink ref="A21" location="'Kennitölur - ársfj'!Print_Area" display="Kennitölur - ársfjórðungar"/>
    <hyperlink ref="A19" location="'Kennitölur - ár'!Print_Area" display="Kennitölur - ár"/>
    <hyperlink ref="A17" location="'Efnahagur - ársfj'!Print_Area" display="Efnahagur - ársfjórðungar"/>
    <hyperlink ref="A13" location="'Rekstur - ársf'!Print_Area" display="Rekstur - ársfjórðungar"/>
    <hyperlink ref="A11" location="'Rekstur - ár'!Print_Area" display="Rekstur - ár"/>
    <hyperlink ref="A7" location="Fjárfestatengsl!Print_Area" display="Fjárfestatengsl"/>
    <hyperlink ref="A5" location="Fyrirvari!Print_Area" display="Fyrirvari"/>
    <hyperlink ref="A9" location="'Landsbankinn í hnotskurn'!A1" display="Landsbankinn í hnotskurn"/>
    <hyperlink ref="A25" location="'Lykiltölur og hlutföll'!A1" display="Lykiltölur og hlutföll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zoomScale="80" zoomScaleNormal="80" zoomScaleSheetLayoutView="90" workbookViewId="0">
      <selection activeCell="E20" sqref="E20"/>
    </sheetView>
  </sheetViews>
  <sheetFormatPr defaultRowHeight="15"/>
  <cols>
    <col min="1" max="1" width="8.88671875" style="54" customWidth="1"/>
    <col min="2" max="5" width="8.88671875" style="54"/>
    <col min="6" max="6" width="8.88671875" style="54" customWidth="1"/>
    <col min="7" max="14" width="8.88671875" style="54"/>
    <col min="15" max="15" width="17.6640625" style="54" customWidth="1"/>
    <col min="16" max="16384" width="8.88671875" style="54"/>
  </cols>
  <sheetData>
    <row r="1" spans="1:12" ht="24" customHeight="1">
      <c r="A1" s="112" t="s">
        <v>90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24" customHeigh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ht="35.25" customHeight="1">
      <c r="A4" s="301" t="s">
        <v>102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</row>
    <row r="5" spans="1:12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</row>
    <row r="6" spans="1:12" ht="36" customHeight="1">
      <c r="A6" s="301" t="s">
        <v>103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</row>
    <row r="7" spans="1:12">
      <c r="A7" s="164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2" ht="54" customHeight="1">
      <c r="A8" s="301" t="s">
        <v>104</v>
      </c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</row>
    <row r="9" spans="1:12">
      <c r="A9" s="165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</row>
    <row r="10" spans="1:12" ht="18" customHeight="1">
      <c r="A10" s="301" t="s">
        <v>105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</row>
    <row r="11" spans="1:12">
      <c r="A11" s="164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</row>
    <row r="12" spans="1:12" ht="36" customHeight="1">
      <c r="A12" s="301" t="s">
        <v>106</v>
      </c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</row>
    <row r="13" spans="1:12">
      <c r="A13" s="62"/>
    </row>
    <row r="14" spans="1:12" ht="24.75" customHeight="1"/>
    <row r="15" spans="1:12" ht="24.75" customHeight="1"/>
    <row r="16" spans="1:12" ht="24.75" customHeight="1">
      <c r="A16" s="114" t="s">
        <v>9</v>
      </c>
      <c r="B16" s="113"/>
      <c r="C16" s="113"/>
    </row>
    <row r="17" ht="24.75" customHeight="1"/>
    <row r="31" ht="41.25" customHeight="1"/>
  </sheetData>
  <mergeCells count="5">
    <mergeCell ref="A4:L4"/>
    <mergeCell ref="A6:L6"/>
    <mergeCell ref="A8:L8"/>
    <mergeCell ref="A10:L10"/>
    <mergeCell ref="A12:L12"/>
  </mergeCells>
  <hyperlinks>
    <hyperlink ref="A16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31"/>
  <sheetViews>
    <sheetView zoomScale="80" zoomScaleNormal="80" zoomScaleSheetLayoutView="90" workbookViewId="0">
      <selection activeCell="E20" sqref="E20"/>
    </sheetView>
  </sheetViews>
  <sheetFormatPr defaultRowHeight="15"/>
  <cols>
    <col min="1" max="7" width="8.88671875" style="54"/>
    <col min="8" max="8" width="8.88671875" style="54" customWidth="1"/>
    <col min="9" max="11" width="8.88671875" style="54"/>
    <col min="12" max="12" width="10.88671875" style="54" customWidth="1"/>
    <col min="13" max="14" width="8.88671875" style="54"/>
    <col min="15" max="15" width="17.6640625" style="54" customWidth="1"/>
    <col min="16" max="16384" width="8.88671875" style="54"/>
  </cols>
  <sheetData>
    <row r="1" spans="1:14" ht="24" customHeight="1">
      <c r="A1" s="77" t="s">
        <v>89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4" ht="24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4" spans="1:14" ht="36" customHeight="1">
      <c r="A4" s="303" t="s">
        <v>92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</row>
    <row r="5" spans="1:14" ht="24.75" customHeight="1"/>
    <row r="6" spans="1:14" ht="24.75" customHeight="1" thickBot="1">
      <c r="A6" s="138" t="s">
        <v>94</v>
      </c>
      <c r="B6" s="139"/>
      <c r="C6" s="86"/>
      <c r="D6" s="86"/>
      <c r="E6" s="86"/>
      <c r="F6" s="130"/>
      <c r="G6" s="130"/>
      <c r="H6" s="130"/>
      <c r="I6" s="138" t="s">
        <v>93</v>
      </c>
      <c r="J6" s="130"/>
      <c r="K6" s="130"/>
      <c r="L6" s="130"/>
    </row>
    <row r="7" spans="1:14" ht="24.75" customHeight="1" thickTop="1">
      <c r="A7" s="129"/>
    </row>
    <row r="8" spans="1:14" ht="24.75" customHeight="1">
      <c r="A8" s="89" t="s">
        <v>7</v>
      </c>
      <c r="C8" s="89"/>
      <c r="D8" s="90"/>
      <c r="E8" s="90"/>
      <c r="F8" s="90"/>
      <c r="G8" s="90"/>
      <c r="H8" s="90"/>
      <c r="I8" s="136" t="s">
        <v>204</v>
      </c>
      <c r="J8" s="137"/>
      <c r="K8" s="137"/>
      <c r="M8" s="90"/>
      <c r="N8" s="90"/>
    </row>
    <row r="9" spans="1:14" ht="24.75" customHeight="1">
      <c r="A9" s="89" t="s">
        <v>96</v>
      </c>
      <c r="C9" s="89"/>
      <c r="I9" s="136" t="s">
        <v>205</v>
      </c>
      <c r="J9" s="137"/>
      <c r="K9" s="137"/>
    </row>
    <row r="10" spans="1:14" ht="24.75" customHeight="1">
      <c r="C10" s="89"/>
      <c r="I10" s="136" t="s">
        <v>206</v>
      </c>
      <c r="J10" s="137"/>
      <c r="K10" s="137"/>
    </row>
    <row r="11" spans="1:14" ht="24.75" customHeight="1">
      <c r="A11" s="89" t="s">
        <v>194</v>
      </c>
      <c r="I11" s="136" t="s">
        <v>207</v>
      </c>
      <c r="J11" s="137"/>
      <c r="K11" s="137"/>
    </row>
    <row r="12" spans="1:14" ht="24.75" customHeight="1">
      <c r="A12" s="89" t="s">
        <v>195</v>
      </c>
    </row>
    <row r="13" spans="1:14" ht="24.75" customHeight="1">
      <c r="I13" s="135" t="s">
        <v>97</v>
      </c>
      <c r="J13" s="137"/>
      <c r="K13" s="137"/>
    </row>
    <row r="14" spans="1:14" ht="24.75" customHeight="1">
      <c r="A14" s="136" t="s">
        <v>6</v>
      </c>
    </row>
    <row r="15" spans="1:14" ht="24.75" customHeight="1">
      <c r="I15" s="135"/>
    </row>
    <row r="16" spans="1:14" ht="24.75" customHeight="1">
      <c r="A16" s="134" t="s">
        <v>95</v>
      </c>
      <c r="B16" s="111"/>
      <c r="C16" s="111"/>
      <c r="D16" s="111"/>
      <c r="E16" s="111"/>
    </row>
    <row r="17" spans="1:3" ht="24.75" customHeight="1"/>
    <row r="18" spans="1:3" ht="24.75" customHeight="1"/>
    <row r="19" spans="1:3" ht="24.75" customHeight="1">
      <c r="A19" s="114" t="s">
        <v>9</v>
      </c>
      <c r="B19" s="113"/>
      <c r="C19" s="113"/>
    </row>
    <row r="31" spans="1:3" ht="41.25" customHeight="1"/>
  </sheetData>
  <mergeCells count="1">
    <mergeCell ref="A4:L4"/>
  </mergeCells>
  <hyperlinks>
    <hyperlink ref="A16" r:id="rId1"/>
    <hyperlink ref="A19" location="Efnisyfirlit!Print_Area" display="Aftur í efnisyfirlit"/>
    <hyperlink ref="A14" r:id="rId2"/>
    <hyperlink ref="I13" r:id="rId3" display="Dagatalið er birt með fyrirvara um breytingar°"/>
  </hyperlinks>
  <pageMargins left="0.70866141732283472" right="0.19685039370078741" top="0.74803149606299213" bottom="0.74803149606299213" header="0.31496062992125984" footer="0.19685039370078741"/>
  <pageSetup paperSize="9" scale="95" orientation="landscape" r:id="rId4"/>
  <headerFooter scaleWithDoc="0" alignWithMargins="0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topLeftCell="A19" zoomScale="80" zoomScaleNormal="80" zoomScalePageLayoutView="70" workbookViewId="0">
      <selection activeCell="E20" sqref="E20"/>
    </sheetView>
  </sheetViews>
  <sheetFormatPr defaultRowHeight="14.25"/>
  <cols>
    <col min="1" max="1" width="10.5546875" style="267" customWidth="1"/>
    <col min="2" max="5" width="8.88671875" style="267"/>
    <col min="6" max="6" width="10.33203125" style="267" customWidth="1"/>
    <col min="7" max="7" width="3.88671875" style="267" customWidth="1"/>
    <col min="8" max="8" width="27.88671875" style="267" customWidth="1"/>
    <col min="9" max="10" width="9.21875" style="267" customWidth="1"/>
    <col min="11" max="12" width="8.88671875" style="267" customWidth="1"/>
    <col min="13" max="13" width="4.33203125" style="267" customWidth="1"/>
    <col min="14" max="16384" width="8.88671875" style="267"/>
  </cols>
  <sheetData>
    <row r="1" spans="1:12" ht="69.75" customHeight="1">
      <c r="A1" s="265" t="s">
        <v>131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ht="21.75" customHeight="1">
      <c r="A2" s="268">
        <v>43555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12" ht="29.2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</row>
    <row r="4" spans="1:12" ht="18">
      <c r="A4" s="270" t="s">
        <v>132</v>
      </c>
      <c r="B4" s="271"/>
      <c r="C4" s="271"/>
      <c r="D4" s="272"/>
      <c r="E4" s="272"/>
      <c r="F4" s="272"/>
      <c r="G4" s="273"/>
      <c r="H4" s="270" t="s">
        <v>133</v>
      </c>
      <c r="I4" s="274">
        <v>43555</v>
      </c>
      <c r="J4" s="274">
        <v>43465</v>
      </c>
      <c r="K4" s="274">
        <v>43555</v>
      </c>
      <c r="L4" s="274">
        <v>43465</v>
      </c>
    </row>
    <row r="5" spans="1:12" ht="12.75" customHeight="1">
      <c r="A5" s="272"/>
      <c r="B5" s="272"/>
      <c r="C5" s="272"/>
      <c r="D5" s="272"/>
      <c r="E5" s="272"/>
      <c r="F5" s="272"/>
      <c r="G5" s="273"/>
      <c r="H5" s="270"/>
      <c r="I5" s="305" t="s">
        <v>134</v>
      </c>
      <c r="J5" s="305"/>
      <c r="K5" s="305" t="s">
        <v>135</v>
      </c>
      <c r="L5" s="305"/>
    </row>
    <row r="6" spans="1:12">
      <c r="A6" s="275"/>
      <c r="B6" s="275"/>
      <c r="C6" s="275"/>
      <c r="D6" s="275"/>
      <c r="E6" s="275"/>
      <c r="F6" s="275"/>
      <c r="G6" s="275"/>
      <c r="H6" s="276" t="s">
        <v>136</v>
      </c>
      <c r="I6" s="277">
        <v>1379298</v>
      </c>
      <c r="J6" s="277">
        <v>1326041</v>
      </c>
      <c r="K6" s="277">
        <f>+I6/'[1]Töluleg gögn'!$Q$7</f>
        <v>10016.688453159042</v>
      </c>
      <c r="L6" s="277">
        <f>+J6/'[1]Töluleg gögn'!$P$7</f>
        <v>9955.2627627627644</v>
      </c>
    </row>
    <row r="7" spans="1:12">
      <c r="A7" s="275"/>
      <c r="B7" s="275"/>
      <c r="C7" s="275"/>
      <c r="D7" s="275"/>
      <c r="E7" s="275"/>
      <c r="F7" s="275"/>
      <c r="G7" s="275"/>
      <c r="H7" s="276" t="s">
        <v>53</v>
      </c>
      <c r="I7" s="277">
        <v>1095376</v>
      </c>
      <c r="J7" s="277">
        <v>1064532</v>
      </c>
      <c r="K7" s="277">
        <f>+I7/'[1]Töluleg gögn'!$Q$7</f>
        <v>7954.8002904865652</v>
      </c>
      <c r="L7" s="277">
        <f>+J7/'[1]Töluleg gögn'!$P$7</f>
        <v>7991.9819819819822</v>
      </c>
    </row>
    <row r="8" spans="1:12">
      <c r="A8" s="275"/>
      <c r="B8" s="275"/>
      <c r="C8" s="275"/>
      <c r="D8" s="275"/>
      <c r="E8" s="275"/>
      <c r="F8" s="275"/>
      <c r="G8" s="275"/>
      <c r="H8" s="276" t="s">
        <v>137</v>
      </c>
      <c r="I8" s="277">
        <v>88664</v>
      </c>
      <c r="J8" s="277">
        <v>71385</v>
      </c>
      <c r="K8" s="277">
        <f>+I8/'[1]Töluleg gögn'!$Q$7</f>
        <v>643.89251997095141</v>
      </c>
      <c r="L8" s="277">
        <f>+J8/'[1]Töluleg gögn'!$P$7</f>
        <v>535.92342342342351</v>
      </c>
    </row>
    <row r="9" spans="1:12">
      <c r="A9" s="275"/>
      <c r="B9" s="275"/>
      <c r="C9" s="275"/>
      <c r="D9" s="275"/>
      <c r="E9" s="275"/>
      <c r="F9" s="275"/>
      <c r="G9" s="275"/>
      <c r="H9" s="276" t="s">
        <v>138</v>
      </c>
      <c r="I9" s="277">
        <v>80954</v>
      </c>
      <c r="J9" s="277">
        <v>77058</v>
      </c>
      <c r="K9" s="277">
        <f>+I9/'[1]Töluleg gögn'!$Q$7</f>
        <v>587.90123456790127</v>
      </c>
      <c r="L9" s="277">
        <f>+J9/'[1]Töluleg gögn'!$P$7</f>
        <v>578.51351351351354</v>
      </c>
    </row>
    <row r="10" spans="1:12">
      <c r="A10" s="275"/>
      <c r="B10" s="275"/>
      <c r="C10" s="275"/>
      <c r="D10" s="275"/>
      <c r="E10" s="275"/>
      <c r="F10" s="275"/>
      <c r="G10" s="275"/>
      <c r="H10" s="278" t="s">
        <v>51</v>
      </c>
      <c r="I10" s="279">
        <v>25151</v>
      </c>
      <c r="J10" s="279">
        <v>23547</v>
      </c>
      <c r="K10" s="279">
        <f>+I10/'[1]Töluleg gögn'!$Q$7</f>
        <v>182.65068990559189</v>
      </c>
      <c r="L10" s="279">
        <f>+J10/'[1]Töluleg gögn'!$P$7</f>
        <v>176.77927927927931</v>
      </c>
    </row>
    <row r="11" spans="1:12">
      <c r="A11" s="275"/>
      <c r="B11" s="275"/>
      <c r="C11" s="275"/>
      <c r="D11" s="275"/>
      <c r="E11" s="275"/>
      <c r="F11" s="275"/>
      <c r="G11" s="275"/>
      <c r="H11" s="276" t="s">
        <v>58</v>
      </c>
      <c r="I11" s="277">
        <v>694820</v>
      </c>
      <c r="J11" s="277">
        <v>693043</v>
      </c>
      <c r="K11" s="277">
        <f>+I11/'[1]Töluleg gögn'!$Q$7</f>
        <v>5045.896877269427</v>
      </c>
      <c r="L11" s="277">
        <f>+J11/'[1]Töluleg gögn'!$P$7</f>
        <v>5203.0255255255261</v>
      </c>
    </row>
    <row r="12" spans="1:12">
      <c r="A12" s="269"/>
      <c r="B12" s="269"/>
      <c r="C12" s="269"/>
      <c r="D12" s="269"/>
      <c r="E12" s="269"/>
      <c r="F12" s="269"/>
      <c r="G12" s="275"/>
      <c r="H12" s="276" t="s">
        <v>57</v>
      </c>
      <c r="I12" s="277">
        <v>36636</v>
      </c>
      <c r="J12" s="277">
        <v>34609</v>
      </c>
      <c r="K12" s="277">
        <f>+I12/'[1]Töluleg gögn'!$Q$7</f>
        <v>266.0566448801743</v>
      </c>
      <c r="L12" s="277">
        <f>+J12/'[1]Töluleg gögn'!$P$7</f>
        <v>259.82732732732734</v>
      </c>
    </row>
    <row r="13" spans="1:12">
      <c r="A13" s="269"/>
      <c r="B13" s="269"/>
      <c r="C13" s="269"/>
      <c r="D13" s="269"/>
      <c r="E13" s="269"/>
      <c r="F13" s="269"/>
      <c r="G13" s="275"/>
      <c r="H13" s="276" t="s">
        <v>59</v>
      </c>
      <c r="I13" s="277">
        <v>351005</v>
      </c>
      <c r="J13" s="277">
        <v>314412</v>
      </c>
      <c r="K13" s="277">
        <f>+I13/'[1]Töluleg gögn'!$Q$7</f>
        <v>2549.055918663762</v>
      </c>
      <c r="L13" s="277">
        <f>+J13/'[1]Töluleg gögn'!$P$7</f>
        <v>2360.4504504504507</v>
      </c>
    </row>
    <row r="14" spans="1:12">
      <c r="A14" s="269"/>
      <c r="B14" s="269"/>
      <c r="C14" s="269"/>
      <c r="D14" s="269"/>
      <c r="E14" s="269"/>
      <c r="F14" s="269"/>
      <c r="G14" s="275"/>
      <c r="H14" s="278" t="s">
        <v>63</v>
      </c>
      <c r="I14" s="280">
        <v>246206</v>
      </c>
      <c r="J14" s="280">
        <v>239610</v>
      </c>
      <c r="K14" s="280">
        <f>+I14/'[1]Töluleg gögn'!$Q$7</f>
        <v>1787.9883805374002</v>
      </c>
      <c r="L14" s="280">
        <f>+J14/'[1]Töluleg gögn'!$P$7</f>
        <v>1798.8738738738741</v>
      </c>
    </row>
    <row r="15" spans="1:12">
      <c r="A15" s="269"/>
      <c r="B15" s="269"/>
      <c r="C15" s="269"/>
      <c r="D15" s="269"/>
      <c r="E15" s="269"/>
      <c r="F15" s="269"/>
      <c r="G15" s="275"/>
      <c r="H15" s="281" t="s">
        <v>139</v>
      </c>
      <c r="I15" s="282">
        <v>0.23799999999999999</v>
      </c>
      <c r="J15" s="282">
        <v>0.249</v>
      </c>
      <c r="K15" s="283"/>
      <c r="L15" s="283"/>
    </row>
    <row r="16" spans="1:12">
      <c r="A16" s="269"/>
      <c r="B16" s="269"/>
      <c r="C16" s="269"/>
      <c r="D16" s="269"/>
      <c r="E16" s="269"/>
      <c r="F16" s="269"/>
      <c r="G16" s="275"/>
      <c r="H16" s="284" t="s">
        <v>140</v>
      </c>
      <c r="I16" s="282">
        <v>1.5760000000000001</v>
      </c>
      <c r="J16" s="282">
        <v>1.536</v>
      </c>
      <c r="K16" s="283"/>
      <c r="L16" s="283"/>
    </row>
    <row r="17" spans="1:14">
      <c r="A17" s="269"/>
      <c r="B17" s="269"/>
      <c r="C17" s="269"/>
      <c r="D17" s="269"/>
      <c r="E17" s="269"/>
      <c r="F17" s="269"/>
      <c r="G17" s="275"/>
      <c r="H17" s="269"/>
      <c r="I17" s="285"/>
      <c r="J17" s="282"/>
      <c r="K17" s="286"/>
      <c r="L17" s="287"/>
      <c r="M17" s="288"/>
      <c r="N17" s="288"/>
    </row>
    <row r="18" spans="1:14" ht="36.75" customHeight="1">
      <c r="A18" s="269"/>
      <c r="B18" s="269"/>
      <c r="C18" s="269"/>
      <c r="D18" s="269"/>
      <c r="E18" s="269"/>
      <c r="F18" s="269"/>
      <c r="G18" s="275"/>
      <c r="H18" s="269"/>
      <c r="I18" s="269"/>
      <c r="J18" s="269"/>
      <c r="K18" s="269"/>
      <c r="L18" s="269"/>
    </row>
    <row r="19" spans="1:14" ht="18">
      <c r="A19" s="270" t="s">
        <v>141</v>
      </c>
      <c r="B19" s="271"/>
      <c r="C19" s="271"/>
      <c r="D19" s="271"/>
      <c r="E19" s="271"/>
      <c r="F19" s="289">
        <v>43555</v>
      </c>
      <c r="G19" s="275"/>
      <c r="H19" s="270" t="s">
        <v>142</v>
      </c>
      <c r="I19" s="274">
        <v>43555</v>
      </c>
      <c r="J19" s="274">
        <v>43190</v>
      </c>
      <c r="K19" s="274">
        <v>43555</v>
      </c>
      <c r="L19" s="274">
        <v>43190</v>
      </c>
    </row>
    <row r="20" spans="1:14" ht="18">
      <c r="A20" s="270"/>
      <c r="B20" s="270"/>
      <c r="C20" s="270"/>
      <c r="D20" s="270"/>
      <c r="E20" s="270"/>
      <c r="F20" s="270"/>
      <c r="G20" s="275"/>
      <c r="H20" s="270"/>
      <c r="I20" s="305" t="s">
        <v>134</v>
      </c>
      <c r="J20" s="305"/>
      <c r="K20" s="305" t="s">
        <v>135</v>
      </c>
      <c r="L20" s="305"/>
    </row>
    <row r="21" spans="1:14">
      <c r="A21" s="269"/>
      <c r="B21" s="269"/>
      <c r="C21" s="269"/>
      <c r="D21" s="269"/>
      <c r="E21" s="269"/>
      <c r="F21" s="269"/>
      <c r="G21" s="275"/>
      <c r="H21" s="269"/>
      <c r="I21" s="285"/>
      <c r="J21" s="285"/>
      <c r="K21" s="285"/>
      <c r="L21" s="285"/>
    </row>
    <row r="22" spans="1:14">
      <c r="A22" s="276" t="s">
        <v>143</v>
      </c>
      <c r="B22" s="290"/>
      <c r="C22" s="290"/>
      <c r="D22" s="290"/>
      <c r="E22" s="290"/>
      <c r="F22" s="277">
        <v>126583</v>
      </c>
      <c r="G22" s="275"/>
      <c r="H22" s="276" t="s">
        <v>144</v>
      </c>
      <c r="I22" s="277">
        <v>15033</v>
      </c>
      <c r="J22" s="277">
        <v>16832</v>
      </c>
      <c r="K22" s="277">
        <f>+I22/'[1]Töluleg gögn'!Q8</f>
        <v>110.49614112458654</v>
      </c>
      <c r="L22" s="277">
        <f>+J22/'[1]Töluleg gögn'!K8</f>
        <v>136.22531563612819</v>
      </c>
      <c r="M22" s="291"/>
    </row>
    <row r="23" spans="1:14">
      <c r="A23" s="276" t="s">
        <v>145</v>
      </c>
      <c r="B23" s="290"/>
      <c r="C23" s="290"/>
      <c r="D23" s="290"/>
      <c r="E23" s="290"/>
      <c r="F23" s="277">
        <v>13900</v>
      </c>
      <c r="G23" s="275"/>
      <c r="H23" s="276" t="s">
        <v>65</v>
      </c>
      <c r="I23" s="277">
        <v>6784</v>
      </c>
      <c r="J23" s="277">
        <v>8102</v>
      </c>
      <c r="K23" s="277">
        <f>+I23/'[1]Töluleg gögn'!Q8</f>
        <v>49.864020580668864</v>
      </c>
      <c r="L23" s="277">
        <f>+J23/'[1]Töluleg gögn'!K8</f>
        <v>65.571382324376813</v>
      </c>
      <c r="M23" s="291"/>
    </row>
    <row r="24" spans="1:14">
      <c r="A24" s="276" t="s">
        <v>146</v>
      </c>
      <c r="B24" s="290"/>
      <c r="C24" s="290"/>
      <c r="D24" s="290"/>
      <c r="E24" s="290"/>
      <c r="F24" s="277">
        <v>37</v>
      </c>
      <c r="G24" s="275"/>
      <c r="H24" s="276" t="s">
        <v>67</v>
      </c>
      <c r="I24" s="292">
        <v>0.112</v>
      </c>
      <c r="J24" s="292">
        <v>0.13700000000000001</v>
      </c>
      <c r="K24" s="292"/>
      <c r="L24" s="292"/>
      <c r="M24" s="291"/>
    </row>
    <row r="25" spans="1:14">
      <c r="A25" s="281" t="s">
        <v>147</v>
      </c>
      <c r="B25" s="293"/>
      <c r="C25" s="293"/>
      <c r="D25" s="293"/>
      <c r="E25" s="293"/>
      <c r="F25" s="277">
        <v>922</v>
      </c>
      <c r="G25" s="275"/>
      <c r="H25" s="276" t="s">
        <v>148</v>
      </c>
      <c r="I25" s="294">
        <v>2.5000000000000001E-2</v>
      </c>
      <c r="J25" s="294">
        <v>2.7E-2</v>
      </c>
      <c r="K25" s="295"/>
      <c r="L25" s="295"/>
      <c r="M25" s="291"/>
    </row>
    <row r="26" spans="1:14">
      <c r="A26" s="275"/>
      <c r="B26" s="275"/>
      <c r="C26" s="275"/>
      <c r="D26" s="275"/>
      <c r="E26" s="275"/>
      <c r="F26" s="275"/>
      <c r="G26" s="275"/>
      <c r="H26" s="276" t="s">
        <v>149</v>
      </c>
      <c r="I26" s="292">
        <v>0.38700000000000001</v>
      </c>
      <c r="J26" s="292">
        <v>0.379</v>
      </c>
      <c r="K26" s="292"/>
      <c r="L26" s="295"/>
      <c r="M26" s="291"/>
    </row>
    <row r="27" spans="1:14">
      <c r="A27" s="275"/>
      <c r="B27" s="275"/>
      <c r="C27" s="275"/>
      <c r="D27" s="275"/>
      <c r="E27" s="275"/>
      <c r="F27" s="275"/>
      <c r="G27" s="275"/>
      <c r="H27" s="269"/>
      <c r="I27" s="285"/>
      <c r="J27" s="285"/>
      <c r="K27" s="285"/>
      <c r="L27" s="285"/>
    </row>
    <row r="28" spans="1:14" ht="31.5" customHeight="1">
      <c r="A28" s="275"/>
      <c r="B28" s="275"/>
      <c r="C28" s="275"/>
      <c r="D28" s="275"/>
      <c r="E28" s="275"/>
      <c r="F28" s="275"/>
      <c r="G28" s="275"/>
      <c r="H28" s="269"/>
      <c r="I28" s="269"/>
      <c r="J28" s="269"/>
      <c r="K28" s="269"/>
      <c r="L28" s="269"/>
    </row>
    <row r="29" spans="1:14" ht="18">
      <c r="A29" s="270" t="s">
        <v>150</v>
      </c>
      <c r="B29" s="271"/>
      <c r="C29" s="271"/>
      <c r="D29" s="271"/>
      <c r="E29" s="271"/>
      <c r="F29" s="271"/>
      <c r="G29" s="275"/>
      <c r="H29" s="270" t="s">
        <v>151</v>
      </c>
      <c r="I29" s="296"/>
      <c r="J29" s="296"/>
      <c r="K29" s="296"/>
      <c r="L29" s="296"/>
    </row>
    <row r="30" spans="1:14" ht="19.5">
      <c r="A30" s="270"/>
      <c r="B30" s="270"/>
      <c r="C30" s="270"/>
      <c r="D30" s="270"/>
      <c r="E30" s="270"/>
      <c r="F30" s="270"/>
      <c r="G30" s="275"/>
      <c r="H30" s="270"/>
      <c r="I30" s="270"/>
      <c r="J30" s="270"/>
      <c r="K30" s="270"/>
      <c r="L30" s="270"/>
      <c r="M30" s="297"/>
    </row>
    <row r="31" spans="1:14">
      <c r="A31" s="275"/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</row>
    <row r="32" spans="1:14">
      <c r="A32" s="275"/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</row>
    <row r="33" spans="1:12">
      <c r="A33" s="275"/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</row>
    <row r="34" spans="1:12">
      <c r="A34" s="275"/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</row>
    <row r="35" spans="1:12">
      <c r="A35" s="275"/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</row>
    <row r="36" spans="1:12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1:12">
      <c r="A37" s="275"/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</row>
    <row r="38" spans="1:12">
      <c r="A38" s="275"/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</row>
    <row r="39" spans="1:12">
      <c r="A39" s="275"/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</row>
    <row r="40" spans="1:12">
      <c r="A40" s="269"/>
      <c r="B40" s="269"/>
      <c r="C40" s="269"/>
      <c r="D40" s="269"/>
      <c r="E40" s="269"/>
      <c r="F40" s="269"/>
      <c r="G40" s="275"/>
      <c r="H40" s="275"/>
      <c r="I40" s="275"/>
      <c r="J40" s="275"/>
      <c r="K40" s="275"/>
      <c r="L40" s="275"/>
    </row>
    <row r="41" spans="1:12">
      <c r="A41" s="269"/>
      <c r="B41" s="269"/>
      <c r="C41" s="269"/>
      <c r="D41" s="269"/>
      <c r="E41" s="269"/>
      <c r="F41" s="269"/>
      <c r="G41" s="275"/>
      <c r="H41" s="275"/>
      <c r="I41" s="275"/>
      <c r="J41" s="275"/>
      <c r="K41" s="275"/>
      <c r="L41" s="275"/>
    </row>
    <row r="42" spans="1:12">
      <c r="A42" s="269"/>
      <c r="B42" s="269"/>
      <c r="C42" s="269"/>
      <c r="D42" s="269"/>
      <c r="E42" s="269"/>
      <c r="F42" s="269"/>
      <c r="G42" s="275"/>
      <c r="H42" s="275"/>
      <c r="I42" s="275"/>
      <c r="J42" s="275"/>
      <c r="K42" s="275"/>
      <c r="L42" s="275"/>
    </row>
    <row r="43" spans="1:12">
      <c r="A43" s="269"/>
      <c r="B43" s="269"/>
      <c r="C43" s="269"/>
      <c r="D43" s="269"/>
      <c r="E43" s="269"/>
      <c r="F43" s="269"/>
      <c r="G43" s="275"/>
      <c r="H43" s="269"/>
      <c r="I43" s="269"/>
      <c r="J43" s="269"/>
      <c r="K43" s="269"/>
      <c r="L43" s="269"/>
    </row>
    <row r="44" spans="1:12">
      <c r="A44" s="269"/>
      <c r="B44" s="269"/>
      <c r="C44" s="269"/>
      <c r="D44" s="269"/>
      <c r="E44" s="269"/>
      <c r="F44" s="269"/>
      <c r="G44" s="275"/>
      <c r="H44" s="269"/>
      <c r="I44" s="269"/>
      <c r="J44" s="269"/>
      <c r="K44" s="269"/>
      <c r="L44" s="269"/>
    </row>
    <row r="45" spans="1:12">
      <c r="A45" s="269"/>
      <c r="B45" s="269"/>
      <c r="C45" s="269"/>
      <c r="D45" s="269"/>
      <c r="E45" s="269"/>
      <c r="F45" s="269"/>
      <c r="G45" s="275"/>
      <c r="H45" s="275"/>
      <c r="I45" s="275"/>
      <c r="J45" s="275"/>
      <c r="K45" s="275"/>
      <c r="L45" s="275"/>
    </row>
    <row r="46" spans="1:12" ht="39" customHeight="1">
      <c r="A46" s="269"/>
      <c r="B46" s="269"/>
      <c r="C46" s="269"/>
      <c r="D46" s="269"/>
      <c r="E46" s="269"/>
      <c r="F46" s="269"/>
      <c r="G46" s="275"/>
      <c r="H46" s="275"/>
      <c r="I46" s="275"/>
      <c r="J46" s="275"/>
      <c r="K46" s="275"/>
      <c r="L46" s="275"/>
    </row>
    <row r="47" spans="1:12" ht="18">
      <c r="A47" s="270" t="s">
        <v>152</v>
      </c>
      <c r="B47" s="271"/>
      <c r="C47" s="271"/>
      <c r="D47" s="271"/>
      <c r="E47" s="271"/>
      <c r="F47" s="271"/>
      <c r="G47" s="275"/>
      <c r="H47" s="270" t="s">
        <v>139</v>
      </c>
      <c r="I47" s="296"/>
      <c r="J47" s="296"/>
      <c r="K47" s="296"/>
      <c r="L47" s="296"/>
    </row>
    <row r="48" spans="1:12" ht="18">
      <c r="A48" s="270"/>
      <c r="B48" s="270"/>
      <c r="C48" s="270"/>
      <c r="D48" s="270"/>
      <c r="E48" s="270"/>
      <c r="F48" s="270"/>
      <c r="G48" s="275"/>
      <c r="H48" s="270"/>
      <c r="I48" s="305"/>
      <c r="J48" s="305"/>
      <c r="K48" s="305"/>
      <c r="L48" s="305"/>
    </row>
    <row r="49" spans="1:12">
      <c r="A49" s="269"/>
      <c r="B49" s="269"/>
      <c r="C49" s="269"/>
      <c r="D49" s="269"/>
      <c r="E49" s="269"/>
      <c r="F49" s="269"/>
      <c r="G49" s="275"/>
      <c r="H49" s="275"/>
      <c r="I49" s="275"/>
      <c r="J49" s="275"/>
      <c r="K49" s="275"/>
      <c r="L49" s="275"/>
    </row>
    <row r="50" spans="1:12">
      <c r="A50" s="269"/>
      <c r="B50" s="269"/>
      <c r="C50" s="269"/>
      <c r="D50" s="269"/>
      <c r="E50" s="269"/>
      <c r="F50" s="269"/>
      <c r="G50" s="275"/>
      <c r="H50" s="275"/>
      <c r="I50" s="275"/>
      <c r="J50" s="275"/>
      <c r="K50" s="275"/>
      <c r="L50" s="275"/>
    </row>
    <row r="51" spans="1:12">
      <c r="A51" s="269"/>
      <c r="B51" s="269"/>
      <c r="C51" s="269"/>
      <c r="D51" s="269"/>
      <c r="E51" s="269"/>
      <c r="F51" s="269"/>
      <c r="G51" s="275"/>
      <c r="H51" s="275"/>
      <c r="I51" s="275"/>
      <c r="J51" s="275"/>
      <c r="K51" s="275"/>
      <c r="L51" s="275"/>
    </row>
    <row r="52" spans="1:12">
      <c r="A52" s="269"/>
      <c r="B52" s="269"/>
      <c r="C52" s="269"/>
      <c r="D52" s="269"/>
      <c r="E52" s="269"/>
      <c r="F52" s="269"/>
      <c r="G52" s="275"/>
      <c r="H52" s="275"/>
      <c r="I52" s="275"/>
      <c r="J52" s="275"/>
      <c r="K52" s="275"/>
      <c r="L52" s="275"/>
    </row>
    <row r="53" spans="1:12">
      <c r="A53" s="269"/>
      <c r="B53" s="269"/>
      <c r="C53" s="269"/>
      <c r="D53" s="269"/>
      <c r="E53" s="269"/>
      <c r="F53" s="269"/>
      <c r="G53" s="275"/>
      <c r="H53" s="275"/>
      <c r="I53" s="275"/>
      <c r="J53" s="275"/>
      <c r="K53" s="275"/>
      <c r="L53" s="275"/>
    </row>
    <row r="54" spans="1:12">
      <c r="A54" s="269"/>
      <c r="B54" s="269"/>
      <c r="C54" s="269"/>
      <c r="D54" s="269"/>
      <c r="E54" s="269"/>
      <c r="F54" s="269"/>
      <c r="G54" s="275"/>
      <c r="H54" s="275"/>
      <c r="I54" s="275"/>
      <c r="J54" s="275"/>
      <c r="K54" s="275"/>
      <c r="L54" s="275"/>
    </row>
    <row r="55" spans="1:12">
      <c r="A55" s="269"/>
      <c r="B55" s="269"/>
      <c r="C55" s="269"/>
      <c r="D55" s="269"/>
      <c r="E55" s="269"/>
      <c r="F55" s="269"/>
      <c r="G55" s="275"/>
      <c r="H55" s="275"/>
      <c r="I55" s="275"/>
      <c r="J55" s="275"/>
      <c r="K55" s="275"/>
      <c r="L55" s="275"/>
    </row>
    <row r="56" spans="1:12" ht="18">
      <c r="A56" s="269"/>
      <c r="B56" s="269"/>
      <c r="C56" s="269"/>
      <c r="D56" s="269"/>
      <c r="E56" s="269"/>
      <c r="F56" s="269"/>
      <c r="G56" s="275"/>
      <c r="H56" s="298"/>
      <c r="I56" s="299"/>
      <c r="J56" s="299"/>
      <c r="K56" s="299"/>
      <c r="L56" s="299"/>
    </row>
    <row r="57" spans="1:12">
      <c r="A57" s="269"/>
      <c r="B57" s="269"/>
      <c r="C57" s="269"/>
      <c r="D57" s="269"/>
      <c r="E57" s="269"/>
      <c r="F57" s="269"/>
      <c r="G57" s="275"/>
      <c r="H57" s="275"/>
      <c r="I57" s="275"/>
      <c r="J57" s="275"/>
      <c r="K57" s="275"/>
      <c r="L57" s="275"/>
    </row>
    <row r="58" spans="1:12">
      <c r="A58" s="269"/>
      <c r="B58" s="269"/>
      <c r="C58" s="269"/>
      <c r="D58" s="269"/>
      <c r="E58" s="269"/>
      <c r="F58" s="269"/>
      <c r="G58" s="269"/>
      <c r="H58" s="275"/>
      <c r="I58" s="275"/>
      <c r="J58" s="275"/>
      <c r="K58" s="275"/>
      <c r="L58" s="275"/>
    </row>
    <row r="59" spans="1:12">
      <c r="A59" s="269"/>
      <c r="B59" s="269"/>
      <c r="C59" s="269"/>
      <c r="D59" s="269"/>
      <c r="E59" s="269"/>
      <c r="F59" s="269"/>
      <c r="G59" s="269"/>
      <c r="H59" s="275"/>
      <c r="I59" s="275"/>
      <c r="J59" s="275"/>
      <c r="K59" s="275"/>
      <c r="L59" s="275"/>
    </row>
    <row r="60" spans="1:12">
      <c r="A60" s="269"/>
      <c r="B60" s="269"/>
      <c r="C60" s="269"/>
      <c r="D60" s="269"/>
      <c r="E60" s="269"/>
      <c r="F60" s="269"/>
      <c r="G60" s="269"/>
      <c r="H60" s="275"/>
      <c r="I60" s="275"/>
      <c r="J60" s="275"/>
      <c r="K60" s="275"/>
      <c r="L60" s="275"/>
    </row>
    <row r="61" spans="1:12">
      <c r="A61" s="269"/>
      <c r="B61" s="269"/>
      <c r="C61" s="269"/>
      <c r="D61" s="269"/>
      <c r="E61" s="269"/>
      <c r="F61" s="269"/>
      <c r="G61" s="269"/>
      <c r="H61" s="275"/>
      <c r="I61" s="275"/>
      <c r="J61" s="275"/>
      <c r="K61" s="275"/>
      <c r="L61" s="275"/>
    </row>
    <row r="62" spans="1:12">
      <c r="A62" s="269"/>
      <c r="B62" s="269"/>
      <c r="C62" s="269"/>
      <c r="D62" s="269"/>
      <c r="E62" s="269"/>
      <c r="F62" s="269"/>
      <c r="G62" s="269"/>
      <c r="H62" s="269"/>
      <c r="I62" s="269"/>
      <c r="J62" s="269"/>
      <c r="K62" s="269"/>
      <c r="L62" s="269"/>
    </row>
    <row r="63" spans="1:12" ht="15">
      <c r="A63" s="300"/>
      <c r="B63" s="269"/>
      <c r="C63" s="269"/>
      <c r="D63" s="269"/>
      <c r="E63" s="269"/>
      <c r="F63" s="269"/>
      <c r="G63" s="269"/>
      <c r="H63" s="269"/>
      <c r="I63" s="269"/>
      <c r="J63" s="269"/>
      <c r="K63" s="269"/>
      <c r="L63" s="269"/>
    </row>
    <row r="64" spans="1:12">
      <c r="A64" s="269"/>
      <c r="B64" s="269"/>
      <c r="C64" s="269"/>
      <c r="D64" s="269"/>
      <c r="E64" s="269"/>
      <c r="F64" s="269"/>
      <c r="G64" s="269"/>
      <c r="H64" s="269"/>
      <c r="I64" s="269"/>
      <c r="J64" s="269"/>
      <c r="K64" s="269"/>
      <c r="L64" s="269"/>
    </row>
    <row r="65" spans="1:12" ht="15.75">
      <c r="A65" s="227" t="s">
        <v>9</v>
      </c>
      <c r="B65" s="269"/>
      <c r="C65" s="269"/>
      <c r="D65" s="269"/>
      <c r="E65" s="269"/>
      <c r="F65" s="269"/>
      <c r="G65" s="269"/>
      <c r="H65" s="269"/>
      <c r="I65" s="269"/>
      <c r="J65" s="269"/>
      <c r="K65" s="269"/>
      <c r="L65" s="269"/>
    </row>
    <row r="66" spans="1:12">
      <c r="A66" s="269"/>
      <c r="B66" s="269"/>
      <c r="C66" s="269"/>
      <c r="D66" s="269"/>
      <c r="E66" s="269"/>
      <c r="F66" s="269"/>
      <c r="G66" s="269"/>
      <c r="H66" s="269"/>
      <c r="I66" s="269"/>
      <c r="J66" s="269"/>
      <c r="K66" s="269"/>
      <c r="L66" s="269"/>
    </row>
    <row r="67" spans="1:12">
      <c r="A67" s="269"/>
      <c r="B67" s="269"/>
      <c r="C67" s="269"/>
      <c r="D67" s="269"/>
      <c r="E67" s="269"/>
      <c r="F67" s="269"/>
      <c r="G67" s="269"/>
      <c r="H67" s="269"/>
      <c r="I67" s="269"/>
      <c r="J67" s="269"/>
      <c r="K67" s="269"/>
      <c r="L67" s="269"/>
    </row>
    <row r="68" spans="1:12">
      <c r="A68" s="269"/>
      <c r="B68" s="269"/>
      <c r="C68" s="269"/>
      <c r="D68" s="269"/>
      <c r="E68" s="269"/>
      <c r="F68" s="269"/>
      <c r="G68" s="269"/>
      <c r="H68" s="269"/>
      <c r="I68" s="269"/>
      <c r="J68" s="269"/>
      <c r="K68" s="269"/>
      <c r="L68" s="269"/>
    </row>
    <row r="69" spans="1:12">
      <c r="A69" s="269"/>
      <c r="B69" s="269"/>
      <c r="C69" s="269"/>
      <c r="D69" s="269"/>
      <c r="E69" s="269"/>
      <c r="F69" s="269"/>
      <c r="G69" s="269"/>
      <c r="H69" s="269"/>
      <c r="I69" s="269"/>
      <c r="J69" s="269"/>
      <c r="K69" s="269"/>
      <c r="L69" s="269"/>
    </row>
    <row r="70" spans="1:12">
      <c r="A70" s="269"/>
      <c r="B70" s="269"/>
      <c r="C70" s="269"/>
      <c r="D70" s="269"/>
      <c r="E70" s="269"/>
      <c r="F70" s="269"/>
      <c r="G70" s="269"/>
      <c r="H70" s="269"/>
      <c r="I70" s="269"/>
      <c r="J70" s="269"/>
      <c r="K70" s="269"/>
      <c r="L70" s="269"/>
    </row>
    <row r="71" spans="1:12">
      <c r="A71" s="269"/>
      <c r="B71" s="269"/>
      <c r="C71" s="269"/>
      <c r="D71" s="269"/>
      <c r="E71" s="269"/>
      <c r="F71" s="269"/>
      <c r="G71" s="269"/>
      <c r="H71" s="269"/>
      <c r="I71" s="269"/>
      <c r="J71" s="269"/>
      <c r="K71" s="269"/>
      <c r="L71" s="269"/>
    </row>
    <row r="72" spans="1:12">
      <c r="A72" s="269"/>
      <c r="B72" s="269"/>
      <c r="C72" s="269"/>
      <c r="D72" s="269"/>
      <c r="E72" s="269"/>
      <c r="F72" s="269"/>
      <c r="G72" s="269"/>
      <c r="H72" s="269"/>
      <c r="I72" s="269"/>
      <c r="J72" s="269"/>
      <c r="K72" s="269"/>
      <c r="L72" s="269"/>
    </row>
    <row r="73" spans="1:12">
      <c r="A73" s="269"/>
      <c r="B73" s="269"/>
      <c r="C73" s="269"/>
      <c r="D73" s="269"/>
      <c r="E73" s="269"/>
      <c r="F73" s="269"/>
      <c r="G73" s="269"/>
      <c r="H73" s="269"/>
      <c r="I73" s="269"/>
      <c r="J73" s="269"/>
      <c r="K73" s="269"/>
      <c r="L73" s="269"/>
    </row>
    <row r="74" spans="1:12">
      <c r="A74" s="269"/>
      <c r="B74" s="269"/>
      <c r="C74" s="269"/>
      <c r="D74" s="269"/>
      <c r="E74" s="269"/>
      <c r="F74" s="269"/>
      <c r="G74" s="269"/>
      <c r="H74" s="269"/>
      <c r="I74" s="269"/>
      <c r="J74" s="269"/>
      <c r="K74" s="269"/>
      <c r="L74" s="269"/>
    </row>
    <row r="75" spans="1:12">
      <c r="A75" s="269"/>
      <c r="B75" s="269"/>
      <c r="C75" s="269"/>
      <c r="D75" s="269"/>
      <c r="E75" s="269"/>
      <c r="F75" s="269"/>
      <c r="G75" s="269"/>
      <c r="H75" s="269"/>
      <c r="I75" s="269"/>
      <c r="J75" s="269"/>
      <c r="K75" s="269"/>
      <c r="L75" s="269"/>
    </row>
  </sheetData>
  <mergeCells count="6">
    <mergeCell ref="I5:J5"/>
    <mergeCell ref="K5:L5"/>
    <mergeCell ref="I20:J20"/>
    <mergeCell ref="K20:L20"/>
    <mergeCell ref="I48:J48"/>
    <mergeCell ref="K48:L48"/>
  </mergeCells>
  <hyperlinks>
    <hyperlink ref="A65" location="Efnisyfirlit!Print_Area" display="Aftur í efnisyfirlit"/>
  </hyperlinks>
  <pageMargins left="0.45281250000000001" right="0.48291666666666666" top="0.54843750000000002" bottom="0.74803149606299213" header="0.31496062992125984" footer="0.31496062992125984"/>
  <pageSetup paperSize="9" scale="61" orientation="portrait" r:id="rId1"/>
  <headerFooter>
    <oddFooter>&amp;LLandsbankinn&amp;Clandsbankinn.is&amp;Rpr@landsbankinn.is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P33"/>
  <sheetViews>
    <sheetView zoomScale="80" zoomScaleNormal="80" zoomScaleSheetLayoutView="90" zoomScalePageLayoutView="120" workbookViewId="0">
      <selection activeCell="E20" sqref="E20"/>
    </sheetView>
  </sheetViews>
  <sheetFormatPr defaultColWidth="11.5546875" defaultRowHeight="15" outlineLevelRow="1"/>
  <cols>
    <col min="1" max="1" width="32.109375" style="54" customWidth="1"/>
    <col min="2" max="2" width="9.109375" style="54" customWidth="1"/>
    <col min="3" max="3" width="9" style="54" customWidth="1"/>
    <col min="4" max="12" width="8.77734375" style="54" customWidth="1"/>
    <col min="13" max="13" width="11.44140625" style="54" customWidth="1"/>
    <col min="14" max="15" width="11.5546875" style="54"/>
    <col min="16" max="16" width="17.6640625" style="54" customWidth="1"/>
    <col min="17" max="16384" width="11.5546875" style="54"/>
  </cols>
  <sheetData>
    <row r="1" spans="1:14" ht="24" customHeight="1">
      <c r="A1" s="245" t="s">
        <v>91</v>
      </c>
      <c r="B1" s="246"/>
      <c r="C1" s="246"/>
      <c r="D1" s="235"/>
      <c r="E1" s="235"/>
      <c r="F1" s="235"/>
      <c r="G1" s="235"/>
      <c r="H1" s="235"/>
      <c r="I1" s="235"/>
      <c r="J1" s="236"/>
      <c r="K1" s="76"/>
      <c r="L1" s="76"/>
    </row>
    <row r="2" spans="1:14" ht="24" customHeight="1">
      <c r="A2" s="237" t="s">
        <v>11</v>
      </c>
      <c r="B2" s="247" t="s">
        <v>208</v>
      </c>
      <c r="C2" s="247" t="s">
        <v>188</v>
      </c>
      <c r="D2" s="247">
        <v>2016</v>
      </c>
      <c r="E2" s="247">
        <v>2015</v>
      </c>
      <c r="F2" s="247">
        <v>2014</v>
      </c>
      <c r="G2" s="247">
        <v>2013</v>
      </c>
      <c r="H2" s="247">
        <v>2012</v>
      </c>
      <c r="I2" s="247">
        <v>2011</v>
      </c>
      <c r="J2" s="248">
        <v>2010</v>
      </c>
      <c r="K2" s="141">
        <v>2009</v>
      </c>
      <c r="L2" s="141" t="s">
        <v>8</v>
      </c>
      <c r="M2" s="57"/>
    </row>
    <row r="3" spans="1:14" ht="24.75" customHeight="1">
      <c r="A3" s="34" t="s">
        <v>12</v>
      </c>
      <c r="B3" s="35">
        <v>40814</v>
      </c>
      <c r="C3" s="35">
        <v>36271</v>
      </c>
      <c r="D3" s="35">
        <v>34650</v>
      </c>
      <c r="E3" s="35">
        <v>32324</v>
      </c>
      <c r="F3" s="36">
        <v>28073</v>
      </c>
      <c r="G3" s="36">
        <v>34314</v>
      </c>
      <c r="H3" s="36">
        <v>35584</v>
      </c>
      <c r="I3" s="262">
        <v>32649</v>
      </c>
      <c r="J3" s="36">
        <v>24685</v>
      </c>
      <c r="K3" s="36">
        <v>28105</v>
      </c>
      <c r="L3" s="204">
        <v>4291</v>
      </c>
      <c r="M3" s="57"/>
    </row>
    <row r="4" spans="1:14" ht="24.75" customHeight="1">
      <c r="A4" s="4" t="s">
        <v>184</v>
      </c>
      <c r="B4" s="6">
        <v>1352</v>
      </c>
      <c r="C4" s="6">
        <v>1785</v>
      </c>
      <c r="D4" s="6">
        <v>-318</v>
      </c>
      <c r="E4" s="6">
        <v>18216</v>
      </c>
      <c r="F4" s="5">
        <v>20128</v>
      </c>
      <c r="G4" s="5">
        <v>13053</v>
      </c>
      <c r="H4" s="5">
        <v>-4391</v>
      </c>
      <c r="I4" s="263">
        <v>-23587</v>
      </c>
      <c r="J4" s="5">
        <v>641</v>
      </c>
      <c r="K4" s="5">
        <v>-6577</v>
      </c>
      <c r="L4" s="187">
        <v>-1256</v>
      </c>
      <c r="M4" s="57"/>
    </row>
    <row r="5" spans="1:14" ht="24.75" customHeight="1">
      <c r="A5" s="22" t="s">
        <v>13</v>
      </c>
      <c r="B5" s="142">
        <f>+B3+B4</f>
        <v>42166</v>
      </c>
      <c r="C5" s="142">
        <f>+C3+C4</f>
        <v>38056</v>
      </c>
      <c r="D5" s="142">
        <v>34332</v>
      </c>
      <c r="E5" s="142">
        <v>50540</v>
      </c>
      <c r="F5" s="24">
        <v>48201</v>
      </c>
      <c r="G5" s="24">
        <v>47367</v>
      </c>
      <c r="H5" s="24">
        <v>31193</v>
      </c>
      <c r="I5" s="23">
        <v>9062</v>
      </c>
      <c r="J5" s="24">
        <v>25326</v>
      </c>
      <c r="K5" s="24">
        <v>21528</v>
      </c>
      <c r="L5" s="205">
        <v>3035</v>
      </c>
      <c r="M5" s="57"/>
    </row>
    <row r="6" spans="1:14" ht="15" customHeight="1" thickBot="1">
      <c r="A6" s="5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08"/>
    </row>
    <row r="7" spans="1:14" ht="24.75" customHeight="1" thickTop="1">
      <c r="A7" s="1" t="s">
        <v>14</v>
      </c>
      <c r="B7" s="3">
        <v>8157</v>
      </c>
      <c r="C7" s="3">
        <v>8431</v>
      </c>
      <c r="D7" s="3">
        <v>7809</v>
      </c>
      <c r="E7" s="3">
        <v>6841</v>
      </c>
      <c r="F7" s="2">
        <v>5836</v>
      </c>
      <c r="G7" s="2">
        <v>5291</v>
      </c>
      <c r="H7" s="2">
        <v>4448</v>
      </c>
      <c r="I7" s="264">
        <v>4423</v>
      </c>
      <c r="J7" s="2">
        <v>3582</v>
      </c>
      <c r="K7" s="2">
        <v>4213</v>
      </c>
      <c r="L7" s="188">
        <v>987</v>
      </c>
      <c r="M7" s="57"/>
    </row>
    <row r="8" spans="1:14" ht="24.75" customHeight="1">
      <c r="A8" s="4" t="s">
        <v>154</v>
      </c>
      <c r="B8" s="37">
        <v>-1497</v>
      </c>
      <c r="C8" s="37">
        <v>-1375</v>
      </c>
      <c r="D8" s="37">
        <v>-179</v>
      </c>
      <c r="E8" s="37">
        <v>-1277</v>
      </c>
      <c r="F8" s="38">
        <v>67</v>
      </c>
      <c r="G8" s="39">
        <v>1147</v>
      </c>
      <c r="H8" s="39">
        <v>4566</v>
      </c>
      <c r="I8" s="27">
        <v>-759</v>
      </c>
      <c r="J8" s="39">
        <v>14623</v>
      </c>
      <c r="K8" s="39">
        <v>-2814</v>
      </c>
      <c r="L8" s="206">
        <v>32583</v>
      </c>
      <c r="M8" s="57"/>
      <c r="N8" s="54" t="s">
        <v>3</v>
      </c>
    </row>
    <row r="9" spans="1:14" ht="24.75" customHeight="1">
      <c r="A9" s="4" t="s">
        <v>113</v>
      </c>
      <c r="B9" s="37">
        <f>1654+3430</f>
        <v>5084</v>
      </c>
      <c r="C9" s="37">
        <f>5802+2598</f>
        <v>8400</v>
      </c>
      <c r="D9" s="37">
        <f>6255+483</f>
        <v>6738</v>
      </c>
      <c r="E9" s="37">
        <f>16259+248</f>
        <v>16507</v>
      </c>
      <c r="F9" s="39">
        <f>9045+465</f>
        <v>9510</v>
      </c>
      <c r="G9" s="39">
        <f>11776+2712</f>
        <v>14488</v>
      </c>
      <c r="H9" s="39">
        <f>8934+2449</f>
        <v>11383</v>
      </c>
      <c r="I9" s="27">
        <f>18018+1417</f>
        <v>19435</v>
      </c>
      <c r="J9" s="39">
        <f>7318+291</f>
        <v>7609</v>
      </c>
      <c r="K9" s="39">
        <f>7798+383</f>
        <v>8181</v>
      </c>
      <c r="L9" s="206">
        <f>-39447+193</f>
        <v>-39254</v>
      </c>
      <c r="M9" s="57"/>
      <c r="N9" s="54" t="s">
        <v>3</v>
      </c>
    </row>
    <row r="10" spans="1:14" ht="24.75" customHeight="1">
      <c r="A10" s="22" t="s">
        <v>15</v>
      </c>
      <c r="B10" s="142">
        <f>+B5+B7+B8+B9</f>
        <v>53910</v>
      </c>
      <c r="C10" s="142">
        <f>+C5+C7+C8+C9</f>
        <v>53512</v>
      </c>
      <c r="D10" s="142">
        <f>48217+483</f>
        <v>48700</v>
      </c>
      <c r="E10" s="142">
        <f>72363+248</f>
        <v>72611</v>
      </c>
      <c r="F10" s="24">
        <f>63149+465</f>
        <v>63614</v>
      </c>
      <c r="G10" s="24">
        <f>65581+2712</f>
        <v>68293</v>
      </c>
      <c r="H10" s="24">
        <f>49141+2449</f>
        <v>51590</v>
      </c>
      <c r="I10" s="23">
        <f>30744+1417</f>
        <v>32161</v>
      </c>
      <c r="J10" s="24">
        <f>50849+291</f>
        <v>51140</v>
      </c>
      <c r="K10" s="24">
        <f>30725+383</f>
        <v>31108</v>
      </c>
      <c r="L10" s="205">
        <f>-2842+193</f>
        <v>-2649</v>
      </c>
      <c r="M10" s="57"/>
    </row>
    <row r="11" spans="1:14" ht="14.25" customHeight="1" thickBot="1">
      <c r="A11" s="5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08"/>
    </row>
    <row r="12" spans="1:14" ht="24.75" customHeight="1" thickTop="1">
      <c r="A12" s="1" t="s">
        <v>16</v>
      </c>
      <c r="B12" s="40">
        <v>14589</v>
      </c>
      <c r="C12" s="40">
        <v>14061</v>
      </c>
      <c r="D12" s="40">
        <v>14049</v>
      </c>
      <c r="E12" s="40">
        <v>13754</v>
      </c>
      <c r="F12" s="41">
        <v>13567</v>
      </c>
      <c r="G12" s="2">
        <v>17304</v>
      </c>
      <c r="H12" s="2">
        <v>13176</v>
      </c>
      <c r="I12" s="264">
        <v>11990</v>
      </c>
      <c r="J12" s="41">
        <v>9331</v>
      </c>
      <c r="K12" s="41">
        <v>8468</v>
      </c>
      <c r="L12" s="210">
        <v>1506</v>
      </c>
      <c r="M12" s="57"/>
    </row>
    <row r="13" spans="1:14" ht="24.75" customHeight="1">
      <c r="A13" s="4" t="s">
        <v>17</v>
      </c>
      <c r="B13" s="37">
        <v>9348</v>
      </c>
      <c r="C13" s="37">
        <v>9789</v>
      </c>
      <c r="D13" s="37">
        <f>7586+611+1268</f>
        <v>9465</v>
      </c>
      <c r="E13" s="37">
        <f>8061+663+1254</f>
        <v>9978</v>
      </c>
      <c r="F13" s="39">
        <f>8545+942+1034</f>
        <v>10521</v>
      </c>
      <c r="G13" s="39">
        <f>8050+818+1079</f>
        <v>9947</v>
      </c>
      <c r="H13" s="39">
        <f>9168+719+1042</f>
        <v>10929</v>
      </c>
      <c r="I13" s="27">
        <f>8712+771+583</f>
        <v>10066</v>
      </c>
      <c r="J13" s="39">
        <f>7174+1311+680</f>
        <v>9165</v>
      </c>
      <c r="K13" s="39">
        <f>6428+1278+680</f>
        <v>8386</v>
      </c>
      <c r="L13" s="206">
        <f>4806+294+665</f>
        <v>5765</v>
      </c>
      <c r="M13" s="57"/>
    </row>
    <row r="14" spans="1:14" ht="24.75" hidden="1" customHeight="1" outlineLevel="1">
      <c r="A14" s="223" t="s">
        <v>18</v>
      </c>
      <c r="B14" s="37"/>
      <c r="C14" s="37"/>
      <c r="D14" s="37">
        <v>0</v>
      </c>
      <c r="E14" s="37">
        <v>0</v>
      </c>
      <c r="F14" s="39">
        <v>0</v>
      </c>
      <c r="G14" s="39">
        <v>0</v>
      </c>
      <c r="H14" s="39">
        <v>0</v>
      </c>
      <c r="I14" s="27">
        <v>0</v>
      </c>
      <c r="J14" s="39">
        <v>0</v>
      </c>
      <c r="K14" s="39">
        <v>0</v>
      </c>
      <c r="L14" s="206">
        <v>0</v>
      </c>
      <c r="M14" s="57"/>
    </row>
    <row r="15" spans="1:14" ht="24.75" hidden="1" customHeight="1" outlineLevel="1">
      <c r="A15" s="223" t="s">
        <v>19</v>
      </c>
      <c r="B15" s="37"/>
      <c r="C15" s="37"/>
      <c r="D15" s="37">
        <v>0</v>
      </c>
      <c r="E15" s="37">
        <v>0</v>
      </c>
      <c r="F15" s="39">
        <v>0</v>
      </c>
      <c r="G15" s="39">
        <v>0</v>
      </c>
      <c r="H15" s="39">
        <v>0</v>
      </c>
      <c r="I15" s="27">
        <v>0</v>
      </c>
      <c r="J15" s="39">
        <v>0</v>
      </c>
      <c r="K15" s="39">
        <v>0</v>
      </c>
      <c r="L15" s="206">
        <v>0</v>
      </c>
      <c r="M15" s="57"/>
    </row>
    <row r="16" spans="1:14" ht="24.75" customHeight="1" collapsed="1">
      <c r="A16" s="22" t="s">
        <v>20</v>
      </c>
      <c r="B16" s="142">
        <f>+B12+B13</f>
        <v>23937</v>
      </c>
      <c r="C16" s="142">
        <f>+C12+C13</f>
        <v>23850</v>
      </c>
      <c r="D16" s="142">
        <v>23514</v>
      </c>
      <c r="E16" s="142">
        <v>23732</v>
      </c>
      <c r="F16" s="24">
        <v>24088</v>
      </c>
      <c r="G16" s="24">
        <v>27251</v>
      </c>
      <c r="H16" s="24">
        <v>24105</v>
      </c>
      <c r="I16" s="23">
        <v>22056</v>
      </c>
      <c r="J16" s="24">
        <v>18496</v>
      </c>
      <c r="K16" s="24">
        <v>16854</v>
      </c>
      <c r="L16" s="205">
        <v>7271</v>
      </c>
      <c r="M16" s="57"/>
      <c r="N16" s="60" t="s">
        <v>3</v>
      </c>
    </row>
    <row r="17" spans="1:16" ht="15" customHeight="1" thickBot="1">
      <c r="A17" s="5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08"/>
    </row>
    <row r="18" spans="1:16" ht="24.75" hidden="1" customHeight="1" outlineLevel="1" thickTop="1">
      <c r="A18" s="226" t="s">
        <v>21</v>
      </c>
      <c r="B18" s="40"/>
      <c r="C18" s="40"/>
      <c r="D18" s="40">
        <v>0</v>
      </c>
      <c r="E18" s="40">
        <v>0</v>
      </c>
      <c r="F18" s="41">
        <v>0</v>
      </c>
      <c r="G18" s="2">
        <v>0</v>
      </c>
      <c r="H18" s="2">
        <v>0</v>
      </c>
      <c r="I18" s="2">
        <v>0</v>
      </c>
      <c r="J18" s="41">
        <v>0</v>
      </c>
      <c r="K18" s="2">
        <v>0</v>
      </c>
      <c r="L18" s="210">
        <v>0</v>
      </c>
      <c r="M18" s="57"/>
    </row>
    <row r="19" spans="1:16" ht="24.75" customHeight="1" collapsed="1" thickTop="1">
      <c r="A19" s="22" t="s">
        <v>127</v>
      </c>
      <c r="B19" s="142">
        <f>+B10-B16</f>
        <v>29973</v>
      </c>
      <c r="C19" s="142">
        <f>+C10-C16</f>
        <v>29662</v>
      </c>
      <c r="D19" s="142">
        <v>25186</v>
      </c>
      <c r="E19" s="142">
        <v>48879</v>
      </c>
      <c r="F19" s="24">
        <v>39526</v>
      </c>
      <c r="G19" s="24">
        <v>41042</v>
      </c>
      <c r="H19" s="24">
        <v>27485</v>
      </c>
      <c r="I19" s="23">
        <v>10105</v>
      </c>
      <c r="J19" s="24">
        <v>32644</v>
      </c>
      <c r="K19" s="24">
        <v>14254</v>
      </c>
      <c r="L19" s="205">
        <v>-9920</v>
      </c>
      <c r="M19" s="57"/>
    </row>
    <row r="20" spans="1:16" ht="14.25" customHeight="1" thickBot="1">
      <c r="A20" s="5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08"/>
    </row>
    <row r="21" spans="1:16" ht="24.75" customHeight="1" thickTop="1">
      <c r="A21" s="1" t="s">
        <v>23</v>
      </c>
      <c r="B21" s="3">
        <f>6853+3860</f>
        <v>10713</v>
      </c>
      <c r="C21" s="3">
        <f>6643+3253</f>
        <v>9896</v>
      </c>
      <c r="D21" s="3">
        <v>8543</v>
      </c>
      <c r="E21" s="3">
        <v>12419</v>
      </c>
      <c r="F21" s="2">
        <v>9789</v>
      </c>
      <c r="G21" s="2">
        <v>12283</v>
      </c>
      <c r="H21" s="2">
        <v>4125</v>
      </c>
      <c r="I21" s="264">
        <v>-597</v>
      </c>
      <c r="J21" s="2">
        <v>8182</v>
      </c>
      <c r="K21" s="2">
        <v>615</v>
      </c>
      <c r="L21" s="188">
        <v>-2941</v>
      </c>
      <c r="M21" s="57"/>
      <c r="N21" s="54" t="s">
        <v>3</v>
      </c>
    </row>
    <row r="22" spans="1:16" ht="24.75" customHeight="1">
      <c r="A22" s="22" t="s">
        <v>129</v>
      </c>
      <c r="B22" s="142">
        <f>+B19-B21</f>
        <v>19260</v>
      </c>
      <c r="C22" s="142">
        <f>+C19-C21</f>
        <v>19766</v>
      </c>
      <c r="D22" s="142">
        <v>16643</v>
      </c>
      <c r="E22" s="142">
        <v>36460</v>
      </c>
      <c r="F22" s="24">
        <v>29737</v>
      </c>
      <c r="G22" s="24">
        <v>28759</v>
      </c>
      <c r="H22" s="24">
        <v>23360</v>
      </c>
      <c r="I22" s="23">
        <v>10702</v>
      </c>
      <c r="J22" s="24">
        <v>24462</v>
      </c>
      <c r="K22" s="24">
        <v>13639</v>
      </c>
      <c r="L22" s="205">
        <v>-6979</v>
      </c>
      <c r="M22" s="57"/>
      <c r="N22" s="60" t="s">
        <v>3</v>
      </c>
    </row>
    <row r="23" spans="1:16" ht="15" customHeight="1" thickBot="1">
      <c r="M23" s="85"/>
    </row>
    <row r="24" spans="1:16" ht="24.75" customHeight="1" thickTop="1">
      <c r="A24" s="1" t="s">
        <v>24</v>
      </c>
      <c r="B24" s="40">
        <v>0</v>
      </c>
      <c r="C24" s="40">
        <v>0</v>
      </c>
      <c r="D24" s="40">
        <v>0</v>
      </c>
      <c r="E24" s="40">
        <v>0</v>
      </c>
      <c r="F24" s="41">
        <v>0</v>
      </c>
      <c r="G24" s="2">
        <v>0</v>
      </c>
      <c r="H24" s="2">
        <v>2134</v>
      </c>
      <c r="I24" s="264">
        <v>6255</v>
      </c>
      <c r="J24" s="41">
        <v>2769</v>
      </c>
      <c r="K24" s="2">
        <v>693</v>
      </c>
      <c r="L24" s="210">
        <v>43</v>
      </c>
      <c r="M24" s="57"/>
    </row>
    <row r="25" spans="1:16" ht="24.75" customHeight="1">
      <c r="A25" s="22" t="s">
        <v>126</v>
      </c>
      <c r="B25" s="142">
        <f>+B22</f>
        <v>19260</v>
      </c>
      <c r="C25" s="142">
        <f>+C22</f>
        <v>19766</v>
      </c>
      <c r="D25" s="142">
        <v>16643</v>
      </c>
      <c r="E25" s="142">
        <v>36460</v>
      </c>
      <c r="F25" s="24">
        <v>29737</v>
      </c>
      <c r="G25" s="24">
        <v>28759</v>
      </c>
      <c r="H25" s="24">
        <v>25494</v>
      </c>
      <c r="I25" s="23">
        <v>16957</v>
      </c>
      <c r="J25" s="24">
        <v>27231</v>
      </c>
      <c r="K25" s="24">
        <v>14332</v>
      </c>
      <c r="L25" s="205">
        <v>-6936</v>
      </c>
    </row>
    <row r="26" spans="1:16" ht="24.75" customHeight="1">
      <c r="I26" s="60" t="s">
        <v>3</v>
      </c>
      <c r="J26" s="60" t="s">
        <v>3</v>
      </c>
      <c r="K26" s="60" t="s">
        <v>3</v>
      </c>
      <c r="L26" s="60" t="s">
        <v>3</v>
      </c>
    </row>
    <row r="27" spans="1:16" ht="24.75" customHeight="1">
      <c r="A27" s="114" t="s">
        <v>9</v>
      </c>
      <c r="B27" s="114"/>
    </row>
    <row r="30" spans="1:16" ht="15.7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6" ht="41.25" customHeight="1">
      <c r="A31" s="56"/>
      <c r="B31" s="56"/>
      <c r="C31" s="56"/>
    </row>
    <row r="32" spans="1:16" ht="15.75">
      <c r="A32" s="55"/>
      <c r="B32" s="55"/>
      <c r="C32" s="55"/>
    </row>
    <row r="33" spans="3:7">
      <c r="C33" s="60" t="s">
        <v>3</v>
      </c>
      <c r="D33" s="60" t="s">
        <v>3</v>
      </c>
      <c r="E33" s="60" t="s">
        <v>3</v>
      </c>
      <c r="F33" s="60" t="s">
        <v>3</v>
      </c>
      <c r="G33" s="60" t="s">
        <v>3</v>
      </c>
    </row>
  </sheetData>
  <hyperlinks>
    <hyperlink ref="A27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95" orientation="landscape" r:id="rId1"/>
  <headerFooter scaleWithDoc="0" alignWithMargins="0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J53"/>
  <sheetViews>
    <sheetView zoomScale="80" zoomScaleNormal="80" zoomScaleSheetLayoutView="90" zoomScalePageLayoutView="120" workbookViewId="0">
      <selection activeCell="E20" sqref="E20"/>
    </sheetView>
  </sheetViews>
  <sheetFormatPr defaultColWidth="11.5546875" defaultRowHeight="15" outlineLevelRow="1"/>
  <cols>
    <col min="1" max="1" width="32.109375" style="54" customWidth="1"/>
    <col min="2" max="2" width="7.6640625" style="54" customWidth="1"/>
    <col min="3" max="19" width="7.77734375" style="54" customWidth="1"/>
    <col min="20" max="20" width="6.44140625" style="54" bestFit="1" customWidth="1"/>
    <col min="21" max="34" width="7.77734375" style="54" customWidth="1"/>
    <col min="35" max="35" width="1.5546875" style="54" bestFit="1" customWidth="1"/>
    <col min="36" max="16384" width="11.5546875" style="54"/>
  </cols>
  <sheetData>
    <row r="1" spans="1:34" s="242" customFormat="1" ht="24" customHeight="1">
      <c r="A1" s="234" t="s">
        <v>107</v>
      </c>
      <c r="B1" s="241"/>
      <c r="C1" s="241"/>
      <c r="D1" s="241"/>
      <c r="E1" s="241"/>
      <c r="F1" s="241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</row>
    <row r="2" spans="1:34" s="244" customFormat="1" ht="24" customHeight="1">
      <c r="A2" s="237" t="s">
        <v>11</v>
      </c>
      <c r="B2" s="243" t="s">
        <v>215</v>
      </c>
      <c r="C2" s="243" t="s">
        <v>209</v>
      </c>
      <c r="D2" s="243" t="s">
        <v>203</v>
      </c>
      <c r="E2" s="243" t="s">
        <v>200</v>
      </c>
      <c r="F2" s="243" t="s">
        <v>193</v>
      </c>
      <c r="G2" s="243" t="s">
        <v>189</v>
      </c>
      <c r="H2" s="243" t="s">
        <v>185</v>
      </c>
      <c r="I2" s="243" t="s">
        <v>182</v>
      </c>
      <c r="J2" s="243" t="s">
        <v>181</v>
      </c>
      <c r="K2" s="243" t="s">
        <v>153</v>
      </c>
      <c r="L2" s="243" t="s">
        <v>25</v>
      </c>
      <c r="M2" s="243" t="s">
        <v>26</v>
      </c>
      <c r="N2" s="243" t="s">
        <v>27</v>
      </c>
      <c r="O2" s="243" t="s">
        <v>28</v>
      </c>
      <c r="P2" s="243" t="s">
        <v>29</v>
      </c>
      <c r="Q2" s="243" t="s">
        <v>30</v>
      </c>
      <c r="R2" s="243" t="s">
        <v>31</v>
      </c>
      <c r="S2" s="243" t="s">
        <v>32</v>
      </c>
      <c r="T2" s="243" t="s">
        <v>33</v>
      </c>
      <c r="U2" s="243" t="s">
        <v>34</v>
      </c>
      <c r="V2" s="243" t="s">
        <v>35</v>
      </c>
      <c r="W2" s="243" t="s">
        <v>36</v>
      </c>
      <c r="X2" s="243" t="s">
        <v>37</v>
      </c>
      <c r="Y2" s="243" t="s">
        <v>38</v>
      </c>
      <c r="Z2" s="243" t="s">
        <v>39</v>
      </c>
      <c r="AA2" s="243" t="s">
        <v>40</v>
      </c>
      <c r="AB2" s="243" t="s">
        <v>41</v>
      </c>
      <c r="AC2" s="243" t="s">
        <v>42</v>
      </c>
      <c r="AD2" s="243" t="s">
        <v>43</v>
      </c>
      <c r="AE2" s="243" t="s">
        <v>44</v>
      </c>
      <c r="AF2" s="243" t="s">
        <v>45</v>
      </c>
      <c r="AG2" s="243" t="s">
        <v>46</v>
      </c>
      <c r="AH2" s="243" t="s">
        <v>47</v>
      </c>
    </row>
    <row r="3" spans="1:34" ht="24" customHeight="1">
      <c r="A3" s="91" t="s">
        <v>12</v>
      </c>
      <c r="B3" s="94">
        <v>10245</v>
      </c>
      <c r="C3" s="94">
        <v>10968</v>
      </c>
      <c r="D3" s="94">
        <v>10370</v>
      </c>
      <c r="E3" s="94">
        <v>9835</v>
      </c>
      <c r="F3" s="94">
        <v>9641</v>
      </c>
      <c r="G3" s="94">
        <v>9201</v>
      </c>
      <c r="H3" s="94">
        <v>8894</v>
      </c>
      <c r="I3" s="94">
        <v>10158</v>
      </c>
      <c r="J3" s="94">
        <v>8018</v>
      </c>
      <c r="K3" s="94">
        <v>8443</v>
      </c>
      <c r="L3" s="94">
        <v>8596</v>
      </c>
      <c r="M3" s="94">
        <v>10145</v>
      </c>
      <c r="N3" s="95">
        <v>7466</v>
      </c>
      <c r="O3" s="95">
        <v>7292</v>
      </c>
      <c r="P3" s="94">
        <v>8834</v>
      </c>
      <c r="Q3" s="94">
        <v>8929</v>
      </c>
      <c r="R3" s="96">
        <v>7269</v>
      </c>
      <c r="S3" s="96">
        <v>5776</v>
      </c>
      <c r="T3" s="96">
        <v>7057</v>
      </c>
      <c r="U3" s="96">
        <v>7385</v>
      </c>
      <c r="V3" s="196">
        <v>7855</v>
      </c>
      <c r="W3" s="96">
        <v>9977</v>
      </c>
      <c r="X3" s="96">
        <v>7340</v>
      </c>
      <c r="Y3" s="96">
        <v>7118</v>
      </c>
      <c r="Z3" s="96">
        <v>9879</v>
      </c>
      <c r="AA3" s="96">
        <v>9229</v>
      </c>
      <c r="AB3" s="96">
        <v>7782</v>
      </c>
      <c r="AC3" s="96">
        <v>10020</v>
      </c>
      <c r="AD3" s="96">
        <v>8553</v>
      </c>
      <c r="AE3" s="96">
        <v>8058</v>
      </c>
      <c r="AF3" s="96">
        <v>7742</v>
      </c>
      <c r="AG3" s="96">
        <v>9704</v>
      </c>
      <c r="AH3" s="143">
        <v>7145</v>
      </c>
    </row>
    <row r="4" spans="1:34" ht="24" customHeight="1">
      <c r="A4" s="84" t="s">
        <v>184</v>
      </c>
      <c r="B4" s="97">
        <v>-994</v>
      </c>
      <c r="C4" s="97">
        <v>-286</v>
      </c>
      <c r="D4" s="97">
        <v>-89</v>
      </c>
      <c r="E4" s="97">
        <v>703</v>
      </c>
      <c r="F4" s="97">
        <v>1024</v>
      </c>
      <c r="G4" s="97">
        <v>-282</v>
      </c>
      <c r="H4" s="97">
        <v>766</v>
      </c>
      <c r="I4" s="97">
        <v>-478</v>
      </c>
      <c r="J4" s="97">
        <v>1779</v>
      </c>
      <c r="K4" s="97">
        <v>-4737</v>
      </c>
      <c r="L4" s="97">
        <v>2144</v>
      </c>
      <c r="M4" s="97">
        <v>1964</v>
      </c>
      <c r="N4" s="98">
        <v>311</v>
      </c>
      <c r="O4" s="99">
        <v>5882</v>
      </c>
      <c r="P4" s="97">
        <v>10489</v>
      </c>
      <c r="Q4" s="97">
        <v>249</v>
      </c>
      <c r="R4" s="100">
        <v>1596</v>
      </c>
      <c r="S4" s="100">
        <v>6101</v>
      </c>
      <c r="T4" s="100">
        <v>2581</v>
      </c>
      <c r="U4" s="100">
        <v>7276</v>
      </c>
      <c r="V4" s="197">
        <v>4170</v>
      </c>
      <c r="W4" s="100">
        <v>3932</v>
      </c>
      <c r="X4" s="100">
        <v>1551</v>
      </c>
      <c r="Y4" s="100">
        <v>3317</v>
      </c>
      <c r="Z4" s="100">
        <v>4253</v>
      </c>
      <c r="AA4" s="100">
        <v>2696</v>
      </c>
      <c r="AB4" s="100">
        <v>-3622</v>
      </c>
      <c r="AC4" s="100">
        <v>-3792</v>
      </c>
      <c r="AD4" s="100">
        <v>327</v>
      </c>
      <c r="AE4" s="100">
        <v>-24380</v>
      </c>
      <c r="AF4" s="100">
        <v>-1881</v>
      </c>
      <c r="AG4" s="100">
        <v>4445</v>
      </c>
      <c r="AH4" s="125">
        <v>-1771</v>
      </c>
    </row>
    <row r="5" spans="1:34" ht="24" customHeight="1">
      <c r="A5" s="22" t="s">
        <v>13</v>
      </c>
      <c r="B5" s="120">
        <v>9251</v>
      </c>
      <c r="C5" s="120">
        <f>+C3+C4</f>
        <v>10682</v>
      </c>
      <c r="D5" s="120">
        <f>+D3+D4</f>
        <v>10281</v>
      </c>
      <c r="E5" s="120">
        <f>+E3+E4</f>
        <v>10538</v>
      </c>
      <c r="F5" s="120">
        <f>+F3+F4</f>
        <v>10665</v>
      </c>
      <c r="G5" s="120">
        <f>+G3+G4</f>
        <v>8919</v>
      </c>
      <c r="H5" s="120">
        <v>9660</v>
      </c>
      <c r="I5" s="120">
        <v>9680</v>
      </c>
      <c r="J5" s="120">
        <v>9797</v>
      </c>
      <c r="K5" s="120">
        <v>3706</v>
      </c>
      <c r="L5" s="120">
        <v>10740</v>
      </c>
      <c r="M5" s="120">
        <v>12109</v>
      </c>
      <c r="N5" s="121">
        <v>7777</v>
      </c>
      <c r="O5" s="121">
        <v>13174</v>
      </c>
      <c r="P5" s="120">
        <v>19323</v>
      </c>
      <c r="Q5" s="120">
        <v>9178</v>
      </c>
      <c r="R5" s="122">
        <v>8865</v>
      </c>
      <c r="S5" s="122">
        <v>11877</v>
      </c>
      <c r="T5" s="122">
        <v>9638</v>
      </c>
      <c r="U5" s="122">
        <v>14661</v>
      </c>
      <c r="V5" s="198">
        <v>12025</v>
      </c>
      <c r="W5" s="122">
        <v>13909</v>
      </c>
      <c r="X5" s="122">
        <v>8891</v>
      </c>
      <c r="Y5" s="122">
        <v>10435</v>
      </c>
      <c r="Z5" s="122">
        <v>14132</v>
      </c>
      <c r="AA5" s="122">
        <v>11925</v>
      </c>
      <c r="AB5" s="122">
        <v>4160</v>
      </c>
      <c r="AC5" s="122">
        <v>6228</v>
      </c>
      <c r="AD5" s="122">
        <v>8880</v>
      </c>
      <c r="AE5" s="122">
        <v>-16322</v>
      </c>
      <c r="AF5" s="122">
        <v>5861</v>
      </c>
      <c r="AG5" s="122">
        <v>14149</v>
      </c>
      <c r="AH5" s="127">
        <v>5374</v>
      </c>
    </row>
    <row r="6" spans="1:34" ht="14.25" customHeight="1" thickBot="1">
      <c r="A6" s="58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</row>
    <row r="7" spans="1:34" ht="24" customHeight="1" thickTop="1">
      <c r="A7" s="92" t="s">
        <v>14</v>
      </c>
      <c r="B7" s="102">
        <v>2060</v>
      </c>
      <c r="C7" s="102">
        <v>2355</v>
      </c>
      <c r="D7" s="102">
        <v>1926</v>
      </c>
      <c r="E7" s="102">
        <v>2185</v>
      </c>
      <c r="F7" s="102">
        <v>1691</v>
      </c>
      <c r="G7" s="102">
        <v>1840</v>
      </c>
      <c r="H7" s="102">
        <v>2159</v>
      </c>
      <c r="I7" s="102">
        <v>2316</v>
      </c>
      <c r="J7" s="102">
        <v>2116</v>
      </c>
      <c r="K7" s="102">
        <v>1900</v>
      </c>
      <c r="L7" s="102">
        <v>2015</v>
      </c>
      <c r="M7" s="102">
        <v>1914</v>
      </c>
      <c r="N7" s="103">
        <v>1980</v>
      </c>
      <c r="O7" s="103">
        <v>1702</v>
      </c>
      <c r="P7" s="102">
        <v>1745</v>
      </c>
      <c r="Q7" s="102">
        <v>1753</v>
      </c>
      <c r="R7" s="104">
        <v>1641</v>
      </c>
      <c r="S7" s="104">
        <v>1640</v>
      </c>
      <c r="T7" s="104">
        <v>1275</v>
      </c>
      <c r="U7" s="104">
        <v>1403</v>
      </c>
      <c r="V7" s="199">
        <v>1518</v>
      </c>
      <c r="W7" s="104">
        <v>1180</v>
      </c>
      <c r="X7" s="104">
        <v>1151</v>
      </c>
      <c r="Y7" s="104">
        <v>1597</v>
      </c>
      <c r="Z7" s="104">
        <v>1363</v>
      </c>
      <c r="AA7" s="104">
        <v>1326</v>
      </c>
      <c r="AB7" s="104">
        <v>1030</v>
      </c>
      <c r="AC7" s="104">
        <v>1090</v>
      </c>
      <c r="AD7" s="104">
        <v>1002</v>
      </c>
      <c r="AE7" s="104">
        <v>1079</v>
      </c>
      <c r="AF7" s="104">
        <v>1127</v>
      </c>
      <c r="AG7" s="104">
        <v>1187</v>
      </c>
      <c r="AH7" s="124">
        <v>1030</v>
      </c>
    </row>
    <row r="8" spans="1:34" ht="24" customHeight="1">
      <c r="A8" s="84" t="s">
        <v>154</v>
      </c>
      <c r="B8" s="105">
        <v>-158</v>
      </c>
      <c r="C8" s="105">
        <v>-676</v>
      </c>
      <c r="D8" s="105">
        <v>-352</v>
      </c>
      <c r="E8" s="105">
        <v>-399</v>
      </c>
      <c r="F8" s="105">
        <v>-70</v>
      </c>
      <c r="G8" s="105">
        <v>-482</v>
      </c>
      <c r="H8" s="105">
        <v>-10</v>
      </c>
      <c r="I8" s="105">
        <v>-518</v>
      </c>
      <c r="J8" s="105">
        <v>-365</v>
      </c>
      <c r="K8" s="105">
        <v>-212</v>
      </c>
      <c r="L8" s="105">
        <v>25</v>
      </c>
      <c r="M8" s="105">
        <v>-154</v>
      </c>
      <c r="N8" s="106">
        <v>162</v>
      </c>
      <c r="O8" s="99">
        <v>-58</v>
      </c>
      <c r="P8" s="105">
        <v>-748</v>
      </c>
      <c r="Q8" s="105">
        <v>-147</v>
      </c>
      <c r="R8" s="107">
        <v>-324</v>
      </c>
      <c r="S8" s="107">
        <v>107</v>
      </c>
      <c r="T8" s="107">
        <v>154</v>
      </c>
      <c r="U8" s="107">
        <v>-171</v>
      </c>
      <c r="V8" s="200">
        <v>-23</v>
      </c>
      <c r="W8" s="107">
        <v>-203</v>
      </c>
      <c r="X8" s="107">
        <v>162</v>
      </c>
      <c r="Y8" s="100">
        <v>16</v>
      </c>
      <c r="Z8" s="100">
        <v>1172</v>
      </c>
      <c r="AA8" s="100">
        <v>2831</v>
      </c>
      <c r="AB8" s="107">
        <v>899</v>
      </c>
      <c r="AC8" s="100">
        <v>-1280</v>
      </c>
      <c r="AD8" s="100">
        <v>2116</v>
      </c>
      <c r="AE8" s="100">
        <v>290</v>
      </c>
      <c r="AF8" s="100">
        <v>-910</v>
      </c>
      <c r="AG8" s="100">
        <v>2440</v>
      </c>
      <c r="AH8" s="125">
        <v>-2579</v>
      </c>
    </row>
    <row r="9" spans="1:34" s="216" customFormat="1" ht="24" customHeight="1">
      <c r="A9" s="84" t="s">
        <v>113</v>
      </c>
      <c r="B9" s="97">
        <f>3442+438</f>
        <v>3880</v>
      </c>
      <c r="C9" s="97">
        <f>1654+3430-F9-E9-D9</f>
        <v>479</v>
      </c>
      <c r="D9" s="97">
        <f>-151+348</f>
        <v>197</v>
      </c>
      <c r="E9" s="97">
        <f>-333+195</f>
        <v>-138</v>
      </c>
      <c r="F9" s="97">
        <f>2196+2350</f>
        <v>4546</v>
      </c>
      <c r="G9" s="97">
        <v>1593</v>
      </c>
      <c r="H9" s="97">
        <f>509+36</f>
        <v>545</v>
      </c>
      <c r="I9" s="97">
        <f>1742+355</f>
        <v>2097</v>
      </c>
      <c r="J9" s="97">
        <f>3263+16+886</f>
        <v>4165</v>
      </c>
      <c r="K9" s="97">
        <f>450+508+619+37</f>
        <v>1614</v>
      </c>
      <c r="L9" s="97">
        <f>259+71</f>
        <v>330</v>
      </c>
      <c r="M9" s="97">
        <f>2821+371</f>
        <v>3192</v>
      </c>
      <c r="N9" s="98">
        <f>1598+4</f>
        <v>1602</v>
      </c>
      <c r="O9" s="98">
        <f>6621-9</f>
        <v>6612</v>
      </c>
      <c r="P9" s="97">
        <f>1837+145</f>
        <v>1982</v>
      </c>
      <c r="Q9" s="97">
        <f>3300+103</f>
        <v>3403</v>
      </c>
      <c r="R9" s="100">
        <f>4501+9</f>
        <v>4510</v>
      </c>
      <c r="S9" s="100">
        <f>4807+125</f>
        <v>4932</v>
      </c>
      <c r="T9" s="100">
        <v>734</v>
      </c>
      <c r="U9" s="100">
        <f>4381+329</f>
        <v>4710</v>
      </c>
      <c r="V9" s="197">
        <f>-877+11</f>
        <v>-866</v>
      </c>
      <c r="W9" s="214">
        <v>2174</v>
      </c>
      <c r="X9" s="214">
        <v>3423</v>
      </c>
      <c r="Y9" s="214">
        <v>2794</v>
      </c>
      <c r="Z9" s="214">
        <v>3385</v>
      </c>
      <c r="AA9" s="214">
        <v>3118</v>
      </c>
      <c r="AB9" s="214">
        <v>292</v>
      </c>
      <c r="AC9" s="214">
        <v>1810</v>
      </c>
      <c r="AD9" s="214">
        <v>3714</v>
      </c>
      <c r="AE9" s="214">
        <v>6167</v>
      </c>
      <c r="AF9" s="214">
        <v>1835</v>
      </c>
      <c r="AG9" s="214">
        <v>545</v>
      </c>
      <c r="AH9" s="215">
        <v>9471</v>
      </c>
    </row>
    <row r="10" spans="1:34" ht="24" customHeight="1">
      <c r="A10" s="123" t="s">
        <v>15</v>
      </c>
      <c r="B10" s="120">
        <v>15033</v>
      </c>
      <c r="C10" s="120">
        <f>+C5+C7+C8+C9</f>
        <v>12840</v>
      </c>
      <c r="D10" s="120">
        <v>12052</v>
      </c>
      <c r="E10" s="120">
        <v>12186</v>
      </c>
      <c r="F10" s="120">
        <v>16832</v>
      </c>
      <c r="G10" s="120">
        <v>11870</v>
      </c>
      <c r="H10" s="120">
        <v>12354</v>
      </c>
      <c r="I10" s="120">
        <v>13575</v>
      </c>
      <c r="J10" s="120">
        <v>15713</v>
      </c>
      <c r="K10" s="120">
        <f>6971+37</f>
        <v>7008</v>
      </c>
      <c r="L10" s="120">
        <f>13039+71</f>
        <v>13110</v>
      </c>
      <c r="M10" s="120">
        <f>16690+371</f>
        <v>17061</v>
      </c>
      <c r="N10" s="121">
        <f>11517+4</f>
        <v>11521</v>
      </c>
      <c r="O10" s="121">
        <f>21439-9</f>
        <v>21430</v>
      </c>
      <c r="P10" s="120">
        <f>22157+145</f>
        <v>22302</v>
      </c>
      <c r="Q10" s="120">
        <f>14084+103</f>
        <v>14187</v>
      </c>
      <c r="R10" s="122">
        <f>14683+9</f>
        <v>14692</v>
      </c>
      <c r="S10" s="122">
        <f>18431+125</f>
        <v>18556</v>
      </c>
      <c r="T10" s="122">
        <v>11801</v>
      </c>
      <c r="U10" s="122">
        <f>20274+329</f>
        <v>20603</v>
      </c>
      <c r="V10" s="198">
        <f>12643+11</f>
        <v>12654</v>
      </c>
      <c r="W10" s="122">
        <v>17060</v>
      </c>
      <c r="X10" s="122">
        <v>13627</v>
      </c>
      <c r="Y10" s="122">
        <v>14842</v>
      </c>
      <c r="Z10" s="122">
        <v>20052</v>
      </c>
      <c r="AA10" s="122">
        <v>19200</v>
      </c>
      <c r="AB10" s="122">
        <v>6381</v>
      </c>
      <c r="AC10" s="122">
        <v>7848</v>
      </c>
      <c r="AD10" s="122">
        <v>15712</v>
      </c>
      <c r="AE10" s="122">
        <v>-8786</v>
      </c>
      <c r="AF10" s="122">
        <v>7913</v>
      </c>
      <c r="AG10" s="122">
        <v>18321</v>
      </c>
      <c r="AH10" s="127">
        <v>13296</v>
      </c>
    </row>
    <row r="11" spans="1:34" ht="14.25" customHeight="1" thickBot="1">
      <c r="A11" s="58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</row>
    <row r="12" spans="1:34" ht="24" customHeight="1" thickTop="1">
      <c r="A12" s="92" t="s">
        <v>16</v>
      </c>
      <c r="B12" s="97">
        <v>3680</v>
      </c>
      <c r="C12" s="97">
        <v>3835</v>
      </c>
      <c r="D12" s="97">
        <v>3222</v>
      </c>
      <c r="E12" s="97">
        <v>3869</v>
      </c>
      <c r="F12" s="97">
        <v>3663</v>
      </c>
      <c r="G12" s="97">
        <v>3753</v>
      </c>
      <c r="H12" s="97">
        <v>3163</v>
      </c>
      <c r="I12" s="97">
        <v>3654</v>
      </c>
      <c r="J12" s="97">
        <v>3491</v>
      </c>
      <c r="K12" s="97">
        <v>3640</v>
      </c>
      <c r="L12" s="97">
        <v>3096</v>
      </c>
      <c r="M12" s="97">
        <v>3559</v>
      </c>
      <c r="N12" s="98">
        <v>3754</v>
      </c>
      <c r="O12" s="99">
        <v>3407</v>
      </c>
      <c r="P12" s="97">
        <v>3466</v>
      </c>
      <c r="Q12" s="97">
        <v>3179</v>
      </c>
      <c r="R12" s="100">
        <v>3702</v>
      </c>
      <c r="S12" s="100">
        <v>3805</v>
      </c>
      <c r="T12" s="100">
        <v>3019</v>
      </c>
      <c r="U12" s="100">
        <v>3288</v>
      </c>
      <c r="V12" s="197">
        <v>3455</v>
      </c>
      <c r="W12" s="104">
        <v>3508</v>
      </c>
      <c r="X12" s="104">
        <v>2810</v>
      </c>
      <c r="Y12" s="104">
        <v>3122</v>
      </c>
      <c r="Z12" s="104">
        <v>7864</v>
      </c>
      <c r="AA12" s="104">
        <v>3477</v>
      </c>
      <c r="AB12" s="104">
        <v>3103</v>
      </c>
      <c r="AC12" s="104">
        <v>3364</v>
      </c>
      <c r="AD12" s="104">
        <v>3232</v>
      </c>
      <c r="AE12" s="104">
        <v>4044</v>
      </c>
      <c r="AF12" s="104">
        <v>2703</v>
      </c>
      <c r="AG12" s="104">
        <v>2933</v>
      </c>
      <c r="AH12" s="124">
        <v>2310</v>
      </c>
    </row>
    <row r="13" spans="1:34" ht="24" customHeight="1">
      <c r="A13" s="84" t="s">
        <v>17</v>
      </c>
      <c r="B13" s="97">
        <v>2522</v>
      </c>
      <c r="C13" s="97">
        <v>2373</v>
      </c>
      <c r="D13" s="97">
        <v>2353</v>
      </c>
      <c r="E13" s="97">
        <v>2287</v>
      </c>
      <c r="F13" s="97">
        <v>2335</v>
      </c>
      <c r="G13" s="97">
        <v>2411</v>
      </c>
      <c r="H13" s="97">
        <v>2475</v>
      </c>
      <c r="I13" s="97">
        <v>2477</v>
      </c>
      <c r="J13" s="97">
        <v>2426</v>
      </c>
      <c r="K13" s="97">
        <f>1843+152+297</f>
        <v>2292</v>
      </c>
      <c r="L13" s="97">
        <f>1760+165+305</f>
        <v>2230</v>
      </c>
      <c r="M13" s="97">
        <f>1940+148+356</f>
        <v>2444</v>
      </c>
      <c r="N13" s="98">
        <f>2043+146+310</f>
        <v>2499</v>
      </c>
      <c r="O13" s="99">
        <f>2223+167+284</f>
        <v>2674</v>
      </c>
      <c r="P13" s="97">
        <f>1757+167+203</f>
        <v>2127</v>
      </c>
      <c r="Q13" s="97">
        <f>2011+165+421</f>
        <v>2597</v>
      </c>
      <c r="R13" s="100">
        <f>2070+164+346</f>
        <v>2580</v>
      </c>
      <c r="S13" s="100">
        <f>2635+419+259</f>
        <v>3313</v>
      </c>
      <c r="T13" s="100">
        <f>1740+171+253</f>
        <v>2164</v>
      </c>
      <c r="U13" s="100">
        <f>1965+175+255</f>
        <v>2395</v>
      </c>
      <c r="V13" s="197">
        <f>2205+177+267</f>
        <v>2649</v>
      </c>
      <c r="W13" s="100">
        <v>1923</v>
      </c>
      <c r="X13" s="100">
        <v>1884</v>
      </c>
      <c r="Y13" s="100">
        <v>2109</v>
      </c>
      <c r="Z13" s="100">
        <v>2134</v>
      </c>
      <c r="AA13" s="100">
        <v>2402</v>
      </c>
      <c r="AB13" s="100">
        <v>2250</v>
      </c>
      <c r="AC13" s="100">
        <v>2331</v>
      </c>
      <c r="AD13" s="100">
        <v>2185</v>
      </c>
      <c r="AE13" s="100">
        <v>2301</v>
      </c>
      <c r="AF13" s="100">
        <v>1597</v>
      </c>
      <c r="AG13" s="100">
        <v>2863</v>
      </c>
      <c r="AH13" s="125">
        <v>1951</v>
      </c>
    </row>
    <row r="14" spans="1:34" ht="24" hidden="1" customHeight="1" outlineLevel="1">
      <c r="A14" s="222" t="s">
        <v>18</v>
      </c>
      <c r="B14" s="97"/>
      <c r="C14" s="97"/>
      <c r="D14" s="97"/>
      <c r="E14" s="97"/>
      <c r="F14" s="97"/>
      <c r="G14" s="97"/>
      <c r="H14" s="97"/>
      <c r="I14" s="97"/>
      <c r="J14" s="97">
        <v>0</v>
      </c>
      <c r="K14" s="97">
        <v>0</v>
      </c>
      <c r="L14" s="97">
        <v>0</v>
      </c>
      <c r="M14" s="97">
        <v>0</v>
      </c>
      <c r="N14" s="98">
        <v>0</v>
      </c>
      <c r="O14" s="99">
        <v>0</v>
      </c>
      <c r="P14" s="97">
        <v>0</v>
      </c>
      <c r="Q14" s="97">
        <v>0</v>
      </c>
      <c r="R14" s="100">
        <v>0</v>
      </c>
      <c r="S14" s="100">
        <v>0</v>
      </c>
      <c r="T14" s="100">
        <v>0</v>
      </c>
      <c r="U14" s="100">
        <v>0</v>
      </c>
      <c r="V14" s="197">
        <v>0</v>
      </c>
      <c r="W14" s="107">
        <v>176</v>
      </c>
      <c r="X14" s="107">
        <v>219</v>
      </c>
      <c r="Y14" s="107">
        <v>214</v>
      </c>
      <c r="Z14" s="107">
        <v>209</v>
      </c>
      <c r="AA14" s="107">
        <v>181</v>
      </c>
      <c r="AB14" s="107">
        <v>177</v>
      </c>
      <c r="AC14" s="107">
        <v>181</v>
      </c>
      <c r="AD14" s="107">
        <v>180</v>
      </c>
      <c r="AE14" s="107">
        <v>240</v>
      </c>
      <c r="AF14" s="107">
        <v>182</v>
      </c>
      <c r="AG14" s="107">
        <v>172</v>
      </c>
      <c r="AH14" s="126">
        <v>177</v>
      </c>
    </row>
    <row r="15" spans="1:34" ht="24" hidden="1" customHeight="1" outlineLevel="1">
      <c r="A15" s="223" t="s">
        <v>19</v>
      </c>
      <c r="B15" s="97"/>
      <c r="C15" s="97"/>
      <c r="D15" s="97"/>
      <c r="E15" s="97"/>
      <c r="F15" s="97"/>
      <c r="G15" s="97"/>
      <c r="H15" s="97"/>
      <c r="I15" s="97"/>
      <c r="J15" s="97">
        <v>0</v>
      </c>
      <c r="K15" s="97">
        <v>0</v>
      </c>
      <c r="L15" s="97">
        <v>0</v>
      </c>
      <c r="M15" s="97">
        <v>0</v>
      </c>
      <c r="N15" s="98">
        <v>0</v>
      </c>
      <c r="O15" s="99">
        <v>0</v>
      </c>
      <c r="P15" s="97">
        <v>0</v>
      </c>
      <c r="Q15" s="97">
        <v>0</v>
      </c>
      <c r="R15" s="100">
        <v>0</v>
      </c>
      <c r="S15" s="100">
        <v>0</v>
      </c>
      <c r="T15" s="100">
        <v>0</v>
      </c>
      <c r="U15" s="100">
        <v>0</v>
      </c>
      <c r="V15" s="197">
        <v>0</v>
      </c>
      <c r="W15" s="107">
        <v>273</v>
      </c>
      <c r="X15" s="107">
        <v>268</v>
      </c>
      <c r="Y15" s="107">
        <v>270</v>
      </c>
      <c r="Z15" s="107">
        <v>268</v>
      </c>
      <c r="AA15" s="107">
        <v>275</v>
      </c>
      <c r="AB15" s="107">
        <v>213</v>
      </c>
      <c r="AC15" s="107">
        <v>204</v>
      </c>
      <c r="AD15" s="107">
        <v>350</v>
      </c>
      <c r="AE15" s="107">
        <v>77</v>
      </c>
      <c r="AF15" s="107">
        <v>106</v>
      </c>
      <c r="AG15" s="107">
        <v>150</v>
      </c>
      <c r="AH15" s="126">
        <v>250</v>
      </c>
    </row>
    <row r="16" spans="1:34" ht="24" customHeight="1" collapsed="1">
      <c r="A16" s="123" t="s">
        <v>20</v>
      </c>
      <c r="B16" s="120">
        <v>6202</v>
      </c>
      <c r="C16" s="120">
        <f>+C12+C13</f>
        <v>6208</v>
      </c>
      <c r="D16" s="120">
        <f>+D12+D13</f>
        <v>5575</v>
      </c>
      <c r="E16" s="120">
        <f>+E12+E13</f>
        <v>6156</v>
      </c>
      <c r="F16" s="120">
        <f>+F12+F13</f>
        <v>5998</v>
      </c>
      <c r="G16" s="120">
        <f>+G12+G13</f>
        <v>6164</v>
      </c>
      <c r="H16" s="120">
        <v>5638</v>
      </c>
      <c r="I16" s="120">
        <v>6131</v>
      </c>
      <c r="J16" s="120">
        <v>5917</v>
      </c>
      <c r="K16" s="120">
        <v>5932</v>
      </c>
      <c r="L16" s="120">
        <v>5326</v>
      </c>
      <c r="M16" s="120">
        <v>6003</v>
      </c>
      <c r="N16" s="121">
        <v>6253</v>
      </c>
      <c r="O16" s="121">
        <v>6081</v>
      </c>
      <c r="P16" s="120">
        <v>5593</v>
      </c>
      <c r="Q16" s="120">
        <v>5776</v>
      </c>
      <c r="R16" s="122">
        <v>6282</v>
      </c>
      <c r="S16" s="122">
        <v>7118</v>
      </c>
      <c r="T16" s="122">
        <v>5183</v>
      </c>
      <c r="U16" s="122">
        <v>5683</v>
      </c>
      <c r="V16" s="198">
        <v>6104</v>
      </c>
      <c r="W16" s="122">
        <v>5880</v>
      </c>
      <c r="X16" s="122">
        <v>5181</v>
      </c>
      <c r="Y16" s="122">
        <v>5715</v>
      </c>
      <c r="Z16" s="122">
        <v>10475</v>
      </c>
      <c r="AA16" s="122">
        <v>6335</v>
      </c>
      <c r="AB16" s="122">
        <v>5743</v>
      </c>
      <c r="AC16" s="122">
        <v>6080</v>
      </c>
      <c r="AD16" s="122">
        <v>5947</v>
      </c>
      <c r="AE16" s="122">
        <v>6663</v>
      </c>
      <c r="AF16" s="122">
        <v>4588</v>
      </c>
      <c r="AG16" s="122">
        <v>6118</v>
      </c>
      <c r="AH16" s="127">
        <v>4687</v>
      </c>
    </row>
    <row r="17" spans="1:36" ht="14.25" customHeight="1" thickBot="1">
      <c r="A17" s="58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</row>
    <row r="18" spans="1:36" s="216" customFormat="1" ht="24" hidden="1" customHeight="1" outlineLevel="1" thickTop="1">
      <c r="A18" s="93" t="s">
        <v>21</v>
      </c>
      <c r="B18" s="217"/>
      <c r="C18" s="229"/>
      <c r="D18" s="229"/>
      <c r="E18" s="229"/>
      <c r="F18" s="217"/>
      <c r="G18" s="217"/>
      <c r="H18" s="217">
        <v>0</v>
      </c>
      <c r="I18" s="217">
        <v>0</v>
      </c>
      <c r="J18" s="217">
        <v>0</v>
      </c>
      <c r="K18" s="217">
        <v>0</v>
      </c>
      <c r="L18" s="217">
        <v>0</v>
      </c>
      <c r="M18" s="217">
        <v>0</v>
      </c>
      <c r="N18" s="218">
        <v>0</v>
      </c>
      <c r="O18" s="218">
        <v>0</v>
      </c>
      <c r="P18" s="217">
        <v>0</v>
      </c>
      <c r="Q18" s="217">
        <v>0</v>
      </c>
      <c r="R18" s="218">
        <v>0</v>
      </c>
      <c r="S18" s="218">
        <v>0</v>
      </c>
      <c r="T18" s="218">
        <v>0</v>
      </c>
      <c r="U18" s="218">
        <v>0</v>
      </c>
      <c r="V18" s="219">
        <v>0</v>
      </c>
      <c r="W18" s="218">
        <v>1585</v>
      </c>
      <c r="X18" s="218">
        <v>0</v>
      </c>
      <c r="Y18" s="218">
        <v>866</v>
      </c>
      <c r="Z18" s="218">
        <v>261</v>
      </c>
      <c r="AA18" s="218">
        <v>1762</v>
      </c>
      <c r="AB18" s="218">
        <v>14</v>
      </c>
      <c r="AC18" s="218">
        <v>673</v>
      </c>
      <c r="AD18" s="218">
        <v>0</v>
      </c>
      <c r="AE18" s="218">
        <v>256</v>
      </c>
      <c r="AF18" s="218">
        <v>-12</v>
      </c>
      <c r="AG18" s="218">
        <v>1183</v>
      </c>
      <c r="AH18" s="220">
        <v>-10</v>
      </c>
    </row>
    <row r="19" spans="1:36" ht="24" customHeight="1" collapsed="1" thickTop="1">
      <c r="A19" s="123" t="s">
        <v>127</v>
      </c>
      <c r="B19" s="120">
        <v>8831</v>
      </c>
      <c r="C19" s="120">
        <f>+C10-C16</f>
        <v>6632</v>
      </c>
      <c r="D19" s="120">
        <f>+D10-D16</f>
        <v>6477</v>
      </c>
      <c r="E19" s="120">
        <v>6030</v>
      </c>
      <c r="F19" s="120">
        <v>10834</v>
      </c>
      <c r="G19" s="120">
        <v>5706</v>
      </c>
      <c r="H19" s="120">
        <v>6716</v>
      </c>
      <c r="I19" s="120">
        <v>7444</v>
      </c>
      <c r="J19" s="120">
        <v>9796</v>
      </c>
      <c r="K19" s="120">
        <v>1076</v>
      </c>
      <c r="L19" s="120">
        <v>7784</v>
      </c>
      <c r="M19" s="120">
        <v>11058</v>
      </c>
      <c r="N19" s="121">
        <v>5268</v>
      </c>
      <c r="O19" s="121">
        <v>15349</v>
      </c>
      <c r="P19" s="120">
        <v>16709</v>
      </c>
      <c r="Q19" s="120">
        <v>8411</v>
      </c>
      <c r="R19" s="122">
        <v>8410</v>
      </c>
      <c r="S19" s="122">
        <v>11438</v>
      </c>
      <c r="T19" s="122">
        <v>6618</v>
      </c>
      <c r="U19" s="122">
        <v>14920</v>
      </c>
      <c r="V19" s="198">
        <v>6550</v>
      </c>
      <c r="W19" s="122">
        <v>12765</v>
      </c>
      <c r="X19" s="122">
        <v>8446</v>
      </c>
      <c r="Y19" s="122">
        <v>9993</v>
      </c>
      <c r="Z19" s="122">
        <v>9838</v>
      </c>
      <c r="AA19" s="122">
        <v>14627</v>
      </c>
      <c r="AB19" s="122">
        <v>652</v>
      </c>
      <c r="AC19" s="122">
        <v>2441</v>
      </c>
      <c r="AD19" s="122">
        <v>9765</v>
      </c>
      <c r="AE19" s="122">
        <v>-15192</v>
      </c>
      <c r="AF19" s="122">
        <v>3313</v>
      </c>
      <c r="AG19" s="122">
        <v>13386</v>
      </c>
      <c r="AH19" s="127">
        <v>8598</v>
      </c>
      <c r="AI19" s="54" t="s">
        <v>3</v>
      </c>
      <c r="AJ19" s="54" t="s">
        <v>3</v>
      </c>
    </row>
    <row r="20" spans="1:36" ht="14.25" customHeight="1" thickBot="1">
      <c r="A20" s="58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</row>
    <row r="21" spans="1:36" ht="24" customHeight="1" thickTop="1">
      <c r="A21" s="93" t="s">
        <v>23</v>
      </c>
      <c r="B21" s="108">
        <f>1037+1010</f>
        <v>2047</v>
      </c>
      <c r="C21" s="108">
        <f>1737+1028</f>
        <v>2765</v>
      </c>
      <c r="D21" s="108">
        <f>1615+1082</f>
        <v>2697</v>
      </c>
      <c r="E21" s="108">
        <f>1609+910</f>
        <v>2519</v>
      </c>
      <c r="F21" s="108">
        <f>1892+840</f>
        <v>2732</v>
      </c>
      <c r="G21" s="108">
        <f>2028+753</f>
        <v>2781</v>
      </c>
      <c r="H21" s="108">
        <f>1648+880</f>
        <v>2528</v>
      </c>
      <c r="I21" s="108">
        <f>1572+795</f>
        <v>2367</v>
      </c>
      <c r="J21" s="108">
        <f>1395+825</f>
        <v>2220</v>
      </c>
      <c r="K21" s="108">
        <v>833</v>
      </c>
      <c r="L21" s="108">
        <v>2682</v>
      </c>
      <c r="M21" s="108">
        <v>3075</v>
      </c>
      <c r="N21" s="109">
        <v>1953</v>
      </c>
      <c r="O21" s="109">
        <v>3302</v>
      </c>
      <c r="P21" s="108">
        <v>4701</v>
      </c>
      <c r="Q21" s="108">
        <v>2418</v>
      </c>
      <c r="R21" s="110">
        <v>1998</v>
      </c>
      <c r="S21" s="110">
        <v>1686</v>
      </c>
      <c r="T21" s="110">
        <v>1511</v>
      </c>
      <c r="U21" s="110">
        <v>4330</v>
      </c>
      <c r="V21" s="201">
        <v>2262</v>
      </c>
      <c r="W21" s="110">
        <v>6282</v>
      </c>
      <c r="X21" s="110">
        <v>1695</v>
      </c>
      <c r="Y21" s="110">
        <v>2457</v>
      </c>
      <c r="Z21" s="110">
        <v>1849</v>
      </c>
      <c r="AA21" s="110">
        <v>2324</v>
      </c>
      <c r="AB21" s="110">
        <v>-1012</v>
      </c>
      <c r="AC21" s="110">
        <v>605</v>
      </c>
      <c r="AD21" s="110">
        <v>2208</v>
      </c>
      <c r="AE21" s="110">
        <v>-2617</v>
      </c>
      <c r="AF21" s="110">
        <v>915</v>
      </c>
      <c r="AG21" s="110">
        <v>2067</v>
      </c>
      <c r="AH21" s="128">
        <v>232</v>
      </c>
      <c r="AI21" s="54" t="s">
        <v>3</v>
      </c>
      <c r="AJ21" s="54" t="s">
        <v>3</v>
      </c>
    </row>
    <row r="22" spans="1:36" ht="24" customHeight="1">
      <c r="A22" s="22" t="s">
        <v>130</v>
      </c>
      <c r="B22" s="120">
        <v>6784</v>
      </c>
      <c r="C22" s="120">
        <f>+C19-C21</f>
        <v>3867</v>
      </c>
      <c r="D22" s="120">
        <f>+D19-D21</f>
        <v>3780</v>
      </c>
      <c r="E22" s="120">
        <f>+E19-E21</f>
        <v>3511</v>
      </c>
      <c r="F22" s="120">
        <f>+F19-F21</f>
        <v>8102</v>
      </c>
      <c r="G22" s="120">
        <f>+G19-G21</f>
        <v>2925</v>
      </c>
      <c r="H22" s="120">
        <v>4188</v>
      </c>
      <c r="I22" s="120">
        <v>5077</v>
      </c>
      <c r="J22" s="120">
        <v>7576</v>
      </c>
      <c r="K22" s="120">
        <v>243</v>
      </c>
      <c r="L22" s="120">
        <v>5102</v>
      </c>
      <c r="M22" s="120">
        <v>7983</v>
      </c>
      <c r="N22" s="121">
        <v>3315</v>
      </c>
      <c r="O22" s="121">
        <v>12047</v>
      </c>
      <c r="P22" s="120">
        <v>12008</v>
      </c>
      <c r="Q22" s="120">
        <v>5993</v>
      </c>
      <c r="R22" s="122">
        <v>6412</v>
      </c>
      <c r="S22" s="122">
        <v>9752</v>
      </c>
      <c r="T22" s="122">
        <v>5107</v>
      </c>
      <c r="U22" s="122">
        <v>10590</v>
      </c>
      <c r="V22" s="198">
        <v>4288</v>
      </c>
      <c r="W22" s="122">
        <v>6483</v>
      </c>
      <c r="X22" s="122">
        <v>6751</v>
      </c>
      <c r="Y22" s="122">
        <v>7536</v>
      </c>
      <c r="Z22" s="122">
        <v>7989</v>
      </c>
      <c r="AA22" s="122">
        <v>12303</v>
      </c>
      <c r="AB22" s="122">
        <v>1664</v>
      </c>
      <c r="AC22" s="122">
        <v>1836</v>
      </c>
      <c r="AD22" s="122">
        <v>7557</v>
      </c>
      <c r="AE22" s="122">
        <v>-11381</v>
      </c>
      <c r="AF22" s="122">
        <v>2398</v>
      </c>
      <c r="AG22" s="122">
        <v>11319</v>
      </c>
      <c r="AH22" s="127">
        <v>8366</v>
      </c>
    </row>
    <row r="23" spans="1:36" ht="14.25" customHeight="1" thickBot="1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207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</row>
    <row r="24" spans="1:36" ht="24" customHeight="1" thickTop="1">
      <c r="A24" s="92" t="s">
        <v>24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2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-350</v>
      </c>
      <c r="AB24" s="102">
        <v>0</v>
      </c>
      <c r="AC24" s="102">
        <v>2312</v>
      </c>
      <c r="AD24" s="102">
        <v>172</v>
      </c>
      <c r="AE24" s="102">
        <v>1384</v>
      </c>
      <c r="AF24" s="102">
        <v>121</v>
      </c>
      <c r="AG24" s="102">
        <v>424</v>
      </c>
      <c r="AH24" s="102">
        <v>4326</v>
      </c>
    </row>
    <row r="25" spans="1:36" ht="24" customHeight="1">
      <c r="A25" s="22" t="s">
        <v>128</v>
      </c>
      <c r="B25" s="120">
        <v>6784</v>
      </c>
      <c r="C25" s="120">
        <f>+C22</f>
        <v>3867</v>
      </c>
      <c r="D25" s="120">
        <f>+D22</f>
        <v>3780</v>
      </c>
      <c r="E25" s="120">
        <f>+E22</f>
        <v>3511</v>
      </c>
      <c r="F25" s="120">
        <f>+F22</f>
        <v>8102</v>
      </c>
      <c r="G25" s="120">
        <f>+G22</f>
        <v>2925</v>
      </c>
      <c r="H25" s="120">
        <v>4188</v>
      </c>
      <c r="I25" s="120">
        <v>5077</v>
      </c>
      <c r="J25" s="120">
        <v>7576</v>
      </c>
      <c r="K25" s="120">
        <v>243</v>
      </c>
      <c r="L25" s="120">
        <v>5102</v>
      </c>
      <c r="M25" s="120">
        <v>7983</v>
      </c>
      <c r="N25" s="120">
        <v>3315</v>
      </c>
      <c r="O25" s="120">
        <v>12047</v>
      </c>
      <c r="P25" s="120">
        <v>12008</v>
      </c>
      <c r="Q25" s="120">
        <v>5993</v>
      </c>
      <c r="R25" s="120">
        <v>6412</v>
      </c>
      <c r="S25" s="120">
        <v>9752</v>
      </c>
      <c r="T25" s="120">
        <v>5107</v>
      </c>
      <c r="U25" s="120">
        <v>10590</v>
      </c>
      <c r="V25" s="203">
        <v>4288</v>
      </c>
      <c r="W25" s="120">
        <v>6483</v>
      </c>
      <c r="X25" s="120">
        <v>6751</v>
      </c>
      <c r="Y25" s="120">
        <v>7536</v>
      </c>
      <c r="Z25" s="120">
        <v>7989</v>
      </c>
      <c r="AA25" s="120">
        <v>11953</v>
      </c>
      <c r="AB25" s="120">
        <v>1664</v>
      </c>
      <c r="AC25" s="120">
        <v>4148</v>
      </c>
      <c r="AD25" s="120">
        <v>7729</v>
      </c>
      <c r="AE25" s="120">
        <v>-9996</v>
      </c>
      <c r="AF25" s="120">
        <v>2519</v>
      </c>
      <c r="AG25" s="120">
        <v>11743</v>
      </c>
      <c r="AH25" s="121">
        <v>12691</v>
      </c>
    </row>
    <row r="26" spans="1:36" ht="12" customHeight="1">
      <c r="W26" s="85"/>
    </row>
    <row r="27" spans="1:36" ht="21" customHeight="1">
      <c r="A27" s="171" t="s">
        <v>125</v>
      </c>
      <c r="B27" s="171"/>
      <c r="C27" s="171"/>
      <c r="D27" s="171"/>
      <c r="E27" s="171"/>
      <c r="F27" s="171"/>
      <c r="W27" s="85"/>
    </row>
    <row r="28" spans="1:36" ht="24.75" customHeight="1">
      <c r="A28" s="114" t="s">
        <v>9</v>
      </c>
      <c r="B28" s="114"/>
      <c r="C28" s="114"/>
      <c r="D28" s="114"/>
      <c r="E28" s="114"/>
      <c r="F28" s="114"/>
      <c r="M28" s="63" t="s">
        <v>3</v>
      </c>
    </row>
    <row r="29" spans="1:36">
      <c r="AC29" s="54" t="s">
        <v>3</v>
      </c>
    </row>
    <row r="31" spans="1:36" ht="41.25" customHeight="1">
      <c r="E31" s="60"/>
      <c r="W31" s="54" t="s">
        <v>3</v>
      </c>
    </row>
    <row r="53" spans="11:13">
      <c r="K53" s="54" t="s">
        <v>3</v>
      </c>
      <c r="L53" s="54" t="s">
        <v>3</v>
      </c>
      <c r="M53" s="54" t="s">
        <v>3</v>
      </c>
    </row>
  </sheetData>
  <hyperlinks>
    <hyperlink ref="A2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6" orientation="landscape" r:id="rId1"/>
  <headerFooter scaleWithDoc="0" alignWithMargins="0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zoomScale="80" zoomScaleNormal="80" zoomScaleSheetLayoutView="90" zoomScalePageLayoutView="134" workbookViewId="0">
      <selection activeCell="E20" sqref="E20"/>
    </sheetView>
  </sheetViews>
  <sheetFormatPr defaultColWidth="11.5546875" defaultRowHeight="15"/>
  <cols>
    <col min="1" max="1" width="25.6640625" style="54" customWidth="1"/>
    <col min="2" max="2" width="11.44140625" style="54" customWidth="1"/>
    <col min="3" max="15" width="11.5546875" style="54"/>
    <col min="16" max="16" width="17.6640625" style="54" customWidth="1"/>
    <col min="17" max="16384" width="11.5546875" style="54"/>
  </cols>
  <sheetData>
    <row r="1" spans="1:12" ht="24" customHeight="1">
      <c r="A1" s="234" t="s">
        <v>48</v>
      </c>
      <c r="B1" s="241"/>
      <c r="C1" s="235"/>
      <c r="D1" s="235"/>
      <c r="E1" s="235"/>
      <c r="F1" s="235"/>
      <c r="G1" s="235"/>
      <c r="H1" s="235"/>
      <c r="I1" s="235"/>
      <c r="J1" s="236"/>
      <c r="K1" s="76"/>
      <c r="L1" s="76"/>
    </row>
    <row r="2" spans="1:12" ht="24" customHeight="1">
      <c r="A2" s="237" t="s">
        <v>11</v>
      </c>
      <c r="B2" s="238">
        <v>43465</v>
      </c>
      <c r="C2" s="238">
        <v>43100</v>
      </c>
      <c r="D2" s="238">
        <v>42735</v>
      </c>
      <c r="E2" s="238">
        <v>42369</v>
      </c>
      <c r="F2" s="239">
        <v>42004</v>
      </c>
      <c r="G2" s="239">
        <v>41639</v>
      </c>
      <c r="H2" s="239">
        <v>41274</v>
      </c>
      <c r="I2" s="239">
        <v>40908</v>
      </c>
      <c r="J2" s="240">
        <v>40543</v>
      </c>
      <c r="K2" s="150">
        <v>40178</v>
      </c>
      <c r="L2" s="150">
        <v>39813</v>
      </c>
    </row>
    <row r="3" spans="1:12" ht="24" customHeight="1">
      <c r="A3" s="145" t="s">
        <v>49</v>
      </c>
      <c r="B3" s="146">
        <v>70854</v>
      </c>
      <c r="C3" s="146">
        <v>55192</v>
      </c>
      <c r="D3" s="146">
        <v>30662</v>
      </c>
      <c r="E3" s="146">
        <v>25164</v>
      </c>
      <c r="F3" s="147">
        <v>10160</v>
      </c>
      <c r="G3" s="148">
        <v>21520</v>
      </c>
      <c r="H3" s="149">
        <v>25898</v>
      </c>
      <c r="I3" s="261">
        <v>8823</v>
      </c>
      <c r="J3" s="147">
        <v>47777</v>
      </c>
      <c r="K3" s="172">
        <v>26174</v>
      </c>
      <c r="L3" s="149">
        <v>30071</v>
      </c>
    </row>
    <row r="4" spans="1:12" ht="24" customHeight="1">
      <c r="A4" s="43" t="s">
        <v>50</v>
      </c>
      <c r="B4" s="44">
        <v>77058</v>
      </c>
      <c r="C4" s="44">
        <v>117310</v>
      </c>
      <c r="D4" s="44">
        <v>154892</v>
      </c>
      <c r="E4" s="44">
        <v>203684</v>
      </c>
      <c r="F4" s="45">
        <v>243589</v>
      </c>
      <c r="G4" s="46">
        <v>290595</v>
      </c>
      <c r="H4" s="47">
        <v>228208</v>
      </c>
      <c r="I4" s="44">
        <v>221848</v>
      </c>
      <c r="J4" s="45">
        <v>161559</v>
      </c>
      <c r="K4" s="173">
        <v>165721</v>
      </c>
      <c r="L4" s="47">
        <v>189121</v>
      </c>
    </row>
    <row r="5" spans="1:12" ht="24" customHeight="1">
      <c r="A5" s="43" t="s">
        <v>51</v>
      </c>
      <c r="B5" s="44">
        <v>23547</v>
      </c>
      <c r="C5" s="44">
        <v>27980</v>
      </c>
      <c r="D5" s="44">
        <v>26688</v>
      </c>
      <c r="E5" s="44">
        <v>29192</v>
      </c>
      <c r="F5" s="45">
        <v>29433</v>
      </c>
      <c r="G5" s="46">
        <v>36275</v>
      </c>
      <c r="H5" s="47">
        <v>36881</v>
      </c>
      <c r="I5" s="44">
        <v>46037</v>
      </c>
      <c r="J5" s="45">
        <v>29429</v>
      </c>
      <c r="K5" s="173">
        <v>23411</v>
      </c>
      <c r="L5" s="47">
        <v>39681</v>
      </c>
    </row>
    <row r="6" spans="1:12" ht="24" customHeight="1">
      <c r="A6" s="43" t="s">
        <v>52</v>
      </c>
      <c r="B6" s="44">
        <v>71385</v>
      </c>
      <c r="C6" s="44">
        <v>44866</v>
      </c>
      <c r="D6" s="44">
        <v>20408</v>
      </c>
      <c r="E6" s="44">
        <v>20791</v>
      </c>
      <c r="F6" s="45">
        <v>49789</v>
      </c>
      <c r="G6" s="46">
        <v>67916</v>
      </c>
      <c r="H6" s="47">
        <v>64349</v>
      </c>
      <c r="I6" s="44">
        <v>100133</v>
      </c>
      <c r="J6" s="45">
        <v>91882</v>
      </c>
      <c r="K6" s="173">
        <v>83129</v>
      </c>
      <c r="L6" s="47">
        <v>8845</v>
      </c>
    </row>
    <row r="7" spans="1:12" ht="24" customHeight="1">
      <c r="A7" s="43" t="s">
        <v>53</v>
      </c>
      <c r="B7" s="44">
        <v>1064532</v>
      </c>
      <c r="C7" s="44">
        <v>925636</v>
      </c>
      <c r="D7" s="44">
        <v>853417</v>
      </c>
      <c r="E7" s="44">
        <v>811549</v>
      </c>
      <c r="F7" s="45">
        <v>718355</v>
      </c>
      <c r="G7" s="46">
        <v>680468</v>
      </c>
      <c r="H7" s="47">
        <v>666087</v>
      </c>
      <c r="I7" s="44">
        <v>639130</v>
      </c>
      <c r="J7" s="45">
        <v>592954</v>
      </c>
      <c r="K7" s="173">
        <v>667122</v>
      </c>
      <c r="L7" s="47">
        <v>705182</v>
      </c>
    </row>
    <row r="8" spans="1:12" ht="24" customHeight="1">
      <c r="A8" s="43" t="s">
        <v>54</v>
      </c>
      <c r="B8" s="44">
        <v>17335</v>
      </c>
      <c r="C8" s="44">
        <v>18238</v>
      </c>
      <c r="D8" s="44">
        <v>17641</v>
      </c>
      <c r="E8" s="44">
        <v>16323</v>
      </c>
      <c r="F8" s="45">
        <v>28832</v>
      </c>
      <c r="G8" s="46">
        <v>29719</v>
      </c>
      <c r="H8" s="47">
        <v>38044</v>
      </c>
      <c r="I8" s="44">
        <v>65959</v>
      </c>
      <c r="J8" s="45">
        <v>28743</v>
      </c>
      <c r="K8" s="173">
        <v>31666</v>
      </c>
      <c r="L8" s="47">
        <v>56907</v>
      </c>
    </row>
    <row r="9" spans="1:12" ht="24" customHeight="1">
      <c r="A9" s="43" t="s">
        <v>55</v>
      </c>
      <c r="B9" s="44">
        <v>1330</v>
      </c>
      <c r="C9" s="44">
        <v>3648</v>
      </c>
      <c r="D9" s="44">
        <v>7449</v>
      </c>
      <c r="E9" s="44">
        <v>11955</v>
      </c>
      <c r="F9" s="45">
        <v>18212</v>
      </c>
      <c r="G9" s="46">
        <v>25023</v>
      </c>
      <c r="H9" s="47">
        <v>25320</v>
      </c>
      <c r="I9" s="44">
        <v>53552</v>
      </c>
      <c r="J9" s="45">
        <v>128789</v>
      </c>
      <c r="K9" s="173">
        <v>63878</v>
      </c>
      <c r="L9" s="47">
        <v>7584</v>
      </c>
    </row>
    <row r="10" spans="1:12" ht="24" customHeight="1">
      <c r="A10" s="22" t="s">
        <v>56</v>
      </c>
      <c r="B10" s="116">
        <f>SUM(B3:B9)</f>
        <v>1326041</v>
      </c>
      <c r="C10" s="116">
        <f>SUM(C3:C9)</f>
        <v>1192870</v>
      </c>
      <c r="D10" s="116">
        <v>1111157</v>
      </c>
      <c r="E10" s="116">
        <v>1118658</v>
      </c>
      <c r="F10" s="117">
        <v>1098370</v>
      </c>
      <c r="G10" s="118">
        <v>1151516</v>
      </c>
      <c r="H10" s="119">
        <v>1084787</v>
      </c>
      <c r="I10" s="116">
        <v>1135482</v>
      </c>
      <c r="J10" s="117">
        <v>1081133</v>
      </c>
      <c r="K10" s="174">
        <v>1061101</v>
      </c>
      <c r="L10" s="119">
        <v>1037391</v>
      </c>
    </row>
    <row r="11" spans="1:12" ht="24" customHeight="1" thickBot="1">
      <c r="A11" s="61"/>
      <c r="B11" s="67"/>
      <c r="C11" s="67"/>
      <c r="D11" s="67"/>
      <c r="E11" s="67"/>
      <c r="F11" s="67"/>
      <c r="G11" s="68"/>
      <c r="H11" s="68"/>
      <c r="I11" s="67"/>
      <c r="J11" s="67"/>
      <c r="K11" s="68"/>
      <c r="L11" s="68"/>
    </row>
    <row r="12" spans="1:12" ht="24" customHeight="1" thickTop="1">
      <c r="A12" s="59" t="s">
        <v>57</v>
      </c>
      <c r="B12" s="64">
        <v>34609</v>
      </c>
      <c r="C12" s="64">
        <v>32062</v>
      </c>
      <c r="D12" s="64">
        <v>20093</v>
      </c>
      <c r="E12" s="64">
        <v>56731</v>
      </c>
      <c r="F12" s="65">
        <v>53827</v>
      </c>
      <c r="G12" s="66">
        <v>167218</v>
      </c>
      <c r="H12" s="53">
        <v>98718</v>
      </c>
      <c r="I12" s="64">
        <v>112876</v>
      </c>
      <c r="J12" s="65">
        <v>147478</v>
      </c>
      <c r="K12" s="175">
        <v>98228</v>
      </c>
      <c r="L12" s="53">
        <v>132219</v>
      </c>
    </row>
    <row r="13" spans="1:12" ht="24" customHeight="1">
      <c r="A13" s="43" t="s">
        <v>58</v>
      </c>
      <c r="B13" s="44">
        <v>693043</v>
      </c>
      <c r="C13" s="44">
        <v>605158</v>
      </c>
      <c r="D13" s="44">
        <v>589725</v>
      </c>
      <c r="E13" s="44">
        <v>559051</v>
      </c>
      <c r="F13" s="45">
        <v>551435</v>
      </c>
      <c r="G13" s="46">
        <v>456662</v>
      </c>
      <c r="H13" s="47">
        <v>421058</v>
      </c>
      <c r="I13" s="44">
        <v>443590</v>
      </c>
      <c r="J13" s="45">
        <v>371558</v>
      </c>
      <c r="K13" s="173">
        <v>452655</v>
      </c>
      <c r="L13" s="47">
        <v>431006</v>
      </c>
    </row>
    <row r="14" spans="1:12" ht="24" customHeight="1">
      <c r="A14" s="43" t="s">
        <v>59</v>
      </c>
      <c r="B14" s="44">
        <v>314412</v>
      </c>
      <c r="C14" s="44">
        <v>281874</v>
      </c>
      <c r="D14" s="44">
        <v>223944</v>
      </c>
      <c r="E14" s="44">
        <v>209344</v>
      </c>
      <c r="F14" s="45">
        <v>207028</v>
      </c>
      <c r="G14" s="46">
        <v>239642</v>
      </c>
      <c r="H14" s="47">
        <v>309265</v>
      </c>
      <c r="I14" s="44">
        <v>337902</v>
      </c>
      <c r="J14" s="45">
        <v>287823</v>
      </c>
      <c r="K14" s="173">
        <v>316734</v>
      </c>
      <c r="L14" s="47">
        <v>305056</v>
      </c>
    </row>
    <row r="15" spans="1:12" ht="24" customHeight="1">
      <c r="A15" s="43" t="s">
        <v>61</v>
      </c>
      <c r="B15" s="44">
        <v>30997</v>
      </c>
      <c r="C15" s="44">
        <v>27615</v>
      </c>
      <c r="D15" s="44">
        <v>24681</v>
      </c>
      <c r="E15" s="44">
        <v>26844</v>
      </c>
      <c r="F15" s="45">
        <v>32443</v>
      </c>
      <c r="G15" s="46">
        <v>42750</v>
      </c>
      <c r="H15" s="47">
        <v>29687</v>
      </c>
      <c r="I15" s="44">
        <v>31485</v>
      </c>
      <c r="J15" s="45">
        <v>27800</v>
      </c>
      <c r="K15" s="173">
        <v>14203</v>
      </c>
      <c r="L15" s="47">
        <v>21385</v>
      </c>
    </row>
    <row r="16" spans="1:12" ht="24" customHeight="1">
      <c r="A16" s="43" t="s">
        <v>62</v>
      </c>
      <c r="B16" s="44">
        <v>30</v>
      </c>
      <c r="C16" s="44">
        <v>27</v>
      </c>
      <c r="D16" s="44">
        <v>1095</v>
      </c>
      <c r="E16" s="44">
        <v>1518</v>
      </c>
      <c r="F16" s="45">
        <v>2834</v>
      </c>
      <c r="G16" s="46">
        <v>3885</v>
      </c>
      <c r="H16" s="72">
        <v>893</v>
      </c>
      <c r="I16" s="44">
        <v>9385</v>
      </c>
      <c r="J16" s="45">
        <v>61609</v>
      </c>
      <c r="K16" s="173">
        <v>21689</v>
      </c>
      <c r="L16" s="46">
        <v>4440</v>
      </c>
    </row>
    <row r="17" spans="1:12" ht="24" customHeight="1">
      <c r="A17" s="43" t="s">
        <v>60</v>
      </c>
      <c r="B17" s="44">
        <v>13340</v>
      </c>
      <c r="C17" s="69">
        <v>77</v>
      </c>
      <c r="D17" s="69">
        <v>388</v>
      </c>
      <c r="E17" s="69">
        <v>639</v>
      </c>
      <c r="F17" s="70">
        <v>0</v>
      </c>
      <c r="G17" s="71">
        <v>0</v>
      </c>
      <c r="H17" s="72">
        <v>0</v>
      </c>
      <c r="I17" s="69">
        <v>0</v>
      </c>
      <c r="J17" s="70">
        <v>0</v>
      </c>
      <c r="K17" s="176">
        <v>0</v>
      </c>
      <c r="L17" s="72">
        <v>0</v>
      </c>
    </row>
    <row r="18" spans="1:12" ht="24" customHeight="1">
      <c r="A18" s="43" t="s">
        <v>63</v>
      </c>
      <c r="B18" s="44">
        <v>239610</v>
      </c>
      <c r="C18" s="44">
        <v>246057</v>
      </c>
      <c r="D18" s="44">
        <v>251231</v>
      </c>
      <c r="E18" s="44">
        <v>264531</v>
      </c>
      <c r="F18" s="45">
        <v>250803</v>
      </c>
      <c r="G18" s="46">
        <v>241359</v>
      </c>
      <c r="H18" s="47">
        <v>225166</v>
      </c>
      <c r="I18" s="44">
        <v>200244</v>
      </c>
      <c r="J18" s="45">
        <v>184866</v>
      </c>
      <c r="K18" s="173">
        <v>157592</v>
      </c>
      <c r="L18" s="47">
        <v>143285</v>
      </c>
    </row>
    <row r="19" spans="1:12" ht="24" customHeight="1">
      <c r="A19" s="22" t="s">
        <v>56</v>
      </c>
      <c r="B19" s="116">
        <f>SUM(B12:B18)</f>
        <v>1326041</v>
      </c>
      <c r="C19" s="116">
        <f>SUM(C12:C18)</f>
        <v>1192870</v>
      </c>
      <c r="D19" s="116">
        <v>1111157</v>
      </c>
      <c r="E19" s="116">
        <v>1118658</v>
      </c>
      <c r="F19" s="117">
        <v>1098370</v>
      </c>
      <c r="G19" s="118">
        <v>1151516</v>
      </c>
      <c r="H19" s="119">
        <v>1084787</v>
      </c>
      <c r="I19" s="116">
        <v>1135482</v>
      </c>
      <c r="J19" s="117">
        <v>1081133</v>
      </c>
      <c r="K19" s="174">
        <v>1061101</v>
      </c>
      <c r="L19" s="119">
        <v>1037391</v>
      </c>
    </row>
    <row r="20" spans="1:12" ht="12.75" customHeight="1">
      <c r="K20" s="85"/>
      <c r="L20" s="85"/>
    </row>
    <row r="21" spans="1:12" ht="24" customHeight="1">
      <c r="A21" s="171" t="s">
        <v>125</v>
      </c>
      <c r="B21" s="171"/>
      <c r="K21" s="85"/>
      <c r="L21" s="85"/>
    </row>
    <row r="22" spans="1:12" ht="24" customHeight="1">
      <c r="A22" s="114" t="s">
        <v>9</v>
      </c>
      <c r="B22" s="114"/>
    </row>
    <row r="23" spans="1:12" ht="24" customHeight="1"/>
    <row r="31" spans="1:12" ht="41.25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H31"/>
  <sheetViews>
    <sheetView zoomScale="80" zoomScaleNormal="80" zoomScaleSheetLayoutView="90" zoomScalePageLayoutView="134" workbookViewId="0">
      <selection activeCell="E20" sqref="E20"/>
    </sheetView>
  </sheetViews>
  <sheetFormatPr defaultColWidth="11.5546875" defaultRowHeight="15"/>
  <cols>
    <col min="1" max="1" width="25.6640625" style="54" customWidth="1"/>
    <col min="2" max="2" width="9" style="54" customWidth="1"/>
    <col min="3" max="6" width="8.21875" style="54" customWidth="1"/>
    <col min="7" max="7" width="8.21875" style="54" bestFit="1" customWidth="1"/>
    <col min="8" max="10" width="7.77734375" style="54" customWidth="1"/>
    <col min="11" max="11" width="8.21875" style="54" bestFit="1" customWidth="1"/>
    <col min="12" max="14" width="7.77734375" style="54" customWidth="1"/>
    <col min="15" max="15" width="8.21875" style="54" bestFit="1" customWidth="1"/>
    <col min="16" max="18" width="7.77734375" style="54" customWidth="1"/>
    <col min="19" max="19" width="8.21875" style="54" bestFit="1" customWidth="1"/>
    <col min="20" max="20" width="7.6640625" style="54" bestFit="1" customWidth="1"/>
    <col min="21" max="22" width="7.77734375" style="54" customWidth="1"/>
    <col min="23" max="23" width="8.21875" style="54" bestFit="1" customWidth="1"/>
    <col min="24" max="34" width="7.77734375" style="54" customWidth="1"/>
    <col min="35" max="16384" width="11.5546875" style="54"/>
  </cols>
  <sheetData>
    <row r="1" spans="1:34" ht="24" customHeight="1">
      <c r="A1" s="77" t="s">
        <v>48</v>
      </c>
      <c r="B1" s="77"/>
      <c r="C1" s="77"/>
      <c r="D1" s="77"/>
      <c r="E1" s="77"/>
      <c r="F1" s="77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2" spans="1:34" ht="24" customHeight="1">
      <c r="A2" s="140" t="s">
        <v>11</v>
      </c>
      <c r="B2" s="150">
        <v>43555</v>
      </c>
      <c r="C2" s="150">
        <v>43465</v>
      </c>
      <c r="D2" s="150">
        <v>43373</v>
      </c>
      <c r="E2" s="150">
        <v>43281</v>
      </c>
      <c r="F2" s="150">
        <v>43190</v>
      </c>
      <c r="G2" s="150">
        <v>43100</v>
      </c>
      <c r="H2" s="150">
        <v>43008</v>
      </c>
      <c r="I2" s="150">
        <v>42916</v>
      </c>
      <c r="J2" s="150">
        <v>42825</v>
      </c>
      <c r="K2" s="150">
        <v>42735</v>
      </c>
      <c r="L2" s="150">
        <v>42643</v>
      </c>
      <c r="M2" s="150">
        <v>42551</v>
      </c>
      <c r="N2" s="150">
        <v>42460</v>
      </c>
      <c r="O2" s="150">
        <v>42369</v>
      </c>
      <c r="P2" s="150">
        <v>42277</v>
      </c>
      <c r="Q2" s="150">
        <v>42185</v>
      </c>
      <c r="R2" s="150">
        <v>42094</v>
      </c>
      <c r="S2" s="150">
        <v>42004</v>
      </c>
      <c r="T2" s="150">
        <v>41912</v>
      </c>
      <c r="U2" s="150">
        <v>41820</v>
      </c>
      <c r="V2" s="150">
        <v>41729</v>
      </c>
      <c r="W2" s="150">
        <v>41639</v>
      </c>
      <c r="X2" s="150">
        <v>41547</v>
      </c>
      <c r="Y2" s="150">
        <v>41455</v>
      </c>
      <c r="Z2" s="150">
        <v>41364</v>
      </c>
      <c r="AA2" s="150">
        <v>41274</v>
      </c>
      <c r="AB2" s="150">
        <v>41182</v>
      </c>
      <c r="AC2" s="150">
        <v>41090</v>
      </c>
      <c r="AD2" s="150">
        <v>40999</v>
      </c>
      <c r="AE2" s="150">
        <v>40908</v>
      </c>
      <c r="AF2" s="150">
        <v>40816</v>
      </c>
      <c r="AG2" s="150">
        <v>40724</v>
      </c>
      <c r="AH2" s="150">
        <v>40633</v>
      </c>
    </row>
    <row r="3" spans="1:34" ht="24" customHeight="1">
      <c r="A3" s="145" t="s">
        <v>49</v>
      </c>
      <c r="B3" s="151">
        <v>63014</v>
      </c>
      <c r="C3" s="151">
        <v>70854</v>
      </c>
      <c r="D3" s="151">
        <v>61155</v>
      </c>
      <c r="E3" s="151">
        <v>68372</v>
      </c>
      <c r="F3" s="151">
        <v>82266</v>
      </c>
      <c r="G3" s="151">
        <v>55192</v>
      </c>
      <c r="H3" s="151">
        <v>33157</v>
      </c>
      <c r="I3" s="151">
        <v>32216</v>
      </c>
      <c r="J3" s="151">
        <v>35826</v>
      </c>
      <c r="K3" s="151">
        <v>30662</v>
      </c>
      <c r="L3" s="151">
        <v>52822</v>
      </c>
      <c r="M3" s="151">
        <v>43997</v>
      </c>
      <c r="N3" s="151">
        <v>23228</v>
      </c>
      <c r="O3" s="146">
        <v>25164</v>
      </c>
      <c r="P3" s="147">
        <v>27120</v>
      </c>
      <c r="Q3" s="147">
        <v>38719</v>
      </c>
      <c r="R3" s="147">
        <v>14347</v>
      </c>
      <c r="S3" s="147">
        <v>10160</v>
      </c>
      <c r="T3" s="147">
        <v>38820</v>
      </c>
      <c r="U3" s="147">
        <v>7964</v>
      </c>
      <c r="V3" s="147">
        <v>34024</v>
      </c>
      <c r="W3" s="147">
        <v>21520</v>
      </c>
      <c r="X3" s="147">
        <v>36024</v>
      </c>
      <c r="Y3" s="147">
        <v>23643</v>
      </c>
      <c r="Z3" s="147">
        <v>21966</v>
      </c>
      <c r="AA3" s="149">
        <v>25898</v>
      </c>
      <c r="AB3" s="149">
        <v>25235</v>
      </c>
      <c r="AC3" s="149">
        <v>16364</v>
      </c>
      <c r="AD3" s="149">
        <v>25494</v>
      </c>
      <c r="AE3" s="149">
        <v>8823</v>
      </c>
      <c r="AF3" s="149">
        <v>22229</v>
      </c>
      <c r="AG3" s="149">
        <v>30374</v>
      </c>
      <c r="AH3" s="149">
        <v>34256</v>
      </c>
    </row>
    <row r="4" spans="1:34" ht="24" customHeight="1">
      <c r="A4" s="43" t="s">
        <v>50</v>
      </c>
      <c r="B4" s="27">
        <v>80954</v>
      </c>
      <c r="C4" s="27">
        <v>77058</v>
      </c>
      <c r="D4" s="27">
        <v>88749</v>
      </c>
      <c r="E4" s="27">
        <v>97214</v>
      </c>
      <c r="F4" s="27">
        <v>100216</v>
      </c>
      <c r="G4" s="27">
        <v>117310</v>
      </c>
      <c r="H4" s="27">
        <v>160223</v>
      </c>
      <c r="I4" s="27">
        <v>162520</v>
      </c>
      <c r="J4" s="27">
        <v>147992</v>
      </c>
      <c r="K4" s="27">
        <v>154892</v>
      </c>
      <c r="L4" s="27">
        <v>168029</v>
      </c>
      <c r="M4" s="27">
        <v>157898</v>
      </c>
      <c r="N4" s="27">
        <v>195175</v>
      </c>
      <c r="O4" s="44">
        <v>203684</v>
      </c>
      <c r="P4" s="45">
        <v>235788</v>
      </c>
      <c r="Q4" s="45">
        <v>248604</v>
      </c>
      <c r="R4" s="45">
        <v>250005</v>
      </c>
      <c r="S4" s="45">
        <v>243589</v>
      </c>
      <c r="T4" s="45">
        <v>293796</v>
      </c>
      <c r="U4" s="45">
        <v>297141</v>
      </c>
      <c r="V4" s="45">
        <v>284418</v>
      </c>
      <c r="W4" s="45">
        <v>290595</v>
      </c>
      <c r="X4" s="45">
        <v>288994</v>
      </c>
      <c r="Y4" s="45">
        <v>278386</v>
      </c>
      <c r="Z4" s="45">
        <v>248571</v>
      </c>
      <c r="AA4" s="47">
        <v>228208</v>
      </c>
      <c r="AB4" s="47">
        <v>217485</v>
      </c>
      <c r="AC4" s="47">
        <v>203863</v>
      </c>
      <c r="AD4" s="47">
        <v>202195</v>
      </c>
      <c r="AE4" s="47">
        <v>221848</v>
      </c>
      <c r="AF4" s="47">
        <v>215008</v>
      </c>
      <c r="AG4" s="47">
        <v>185417</v>
      </c>
      <c r="AH4" s="47">
        <v>166008</v>
      </c>
    </row>
    <row r="5" spans="1:34" ht="24" customHeight="1">
      <c r="A5" s="43" t="s">
        <v>51</v>
      </c>
      <c r="B5" s="27">
        <v>25151</v>
      </c>
      <c r="C5" s="27">
        <v>23547</v>
      </c>
      <c r="D5" s="27">
        <v>27766</v>
      </c>
      <c r="E5" s="27">
        <v>28756</v>
      </c>
      <c r="F5" s="27">
        <v>25666</v>
      </c>
      <c r="G5" s="27">
        <v>27980</v>
      </c>
      <c r="H5" s="27">
        <v>31049</v>
      </c>
      <c r="I5" s="27">
        <v>30934</v>
      </c>
      <c r="J5" s="27">
        <v>30868</v>
      </c>
      <c r="K5" s="27">
        <v>26688</v>
      </c>
      <c r="L5" s="27">
        <v>30896</v>
      </c>
      <c r="M5" s="27">
        <v>29042</v>
      </c>
      <c r="N5" s="27">
        <v>29381</v>
      </c>
      <c r="O5" s="44">
        <v>29192</v>
      </c>
      <c r="P5" s="45">
        <v>26467</v>
      </c>
      <c r="Q5" s="45">
        <v>25498</v>
      </c>
      <c r="R5" s="45">
        <v>33354</v>
      </c>
      <c r="S5" s="45">
        <v>29433</v>
      </c>
      <c r="T5" s="45">
        <v>40991</v>
      </c>
      <c r="U5" s="45">
        <v>42221</v>
      </c>
      <c r="V5" s="45">
        <v>36414</v>
      </c>
      <c r="W5" s="45">
        <v>36275</v>
      </c>
      <c r="X5" s="45">
        <v>33954</v>
      </c>
      <c r="Y5" s="45">
        <v>34029</v>
      </c>
      <c r="Z5" s="45">
        <v>32549</v>
      </c>
      <c r="AA5" s="47">
        <v>36881</v>
      </c>
      <c r="AB5" s="47">
        <v>33198</v>
      </c>
      <c r="AC5" s="47">
        <v>38161</v>
      </c>
      <c r="AD5" s="47">
        <v>42803</v>
      </c>
      <c r="AE5" s="47">
        <v>46037</v>
      </c>
      <c r="AF5" s="47">
        <v>28801</v>
      </c>
      <c r="AG5" s="47">
        <v>38461</v>
      </c>
      <c r="AH5" s="47">
        <v>38043</v>
      </c>
    </row>
    <row r="6" spans="1:34" ht="24" customHeight="1">
      <c r="A6" s="43" t="s">
        <v>52</v>
      </c>
      <c r="B6" s="27">
        <v>88664</v>
      </c>
      <c r="C6" s="27">
        <v>71385</v>
      </c>
      <c r="D6" s="27">
        <v>84513</v>
      </c>
      <c r="E6" s="27">
        <v>47937</v>
      </c>
      <c r="F6" s="27">
        <v>41796</v>
      </c>
      <c r="G6" s="27">
        <v>44866</v>
      </c>
      <c r="H6" s="27">
        <v>41485</v>
      </c>
      <c r="I6" s="27">
        <v>49292</v>
      </c>
      <c r="J6" s="27">
        <v>70230</v>
      </c>
      <c r="K6" s="27">
        <v>20408</v>
      </c>
      <c r="L6" s="27">
        <v>16835</v>
      </c>
      <c r="M6" s="27">
        <v>21885</v>
      </c>
      <c r="N6" s="27">
        <v>15221</v>
      </c>
      <c r="O6" s="44">
        <v>20791</v>
      </c>
      <c r="P6" s="45">
        <v>46511</v>
      </c>
      <c r="Q6" s="45">
        <v>68707</v>
      </c>
      <c r="R6" s="45">
        <v>86951</v>
      </c>
      <c r="S6" s="45">
        <v>49789</v>
      </c>
      <c r="T6" s="45">
        <v>68192</v>
      </c>
      <c r="U6" s="45">
        <v>67163</v>
      </c>
      <c r="V6" s="45">
        <v>63896</v>
      </c>
      <c r="W6" s="45">
        <v>67916</v>
      </c>
      <c r="X6" s="45">
        <v>70545</v>
      </c>
      <c r="Y6" s="45">
        <v>70671</v>
      </c>
      <c r="Z6" s="45">
        <v>56551</v>
      </c>
      <c r="AA6" s="47">
        <v>64349</v>
      </c>
      <c r="AB6" s="47">
        <v>60787</v>
      </c>
      <c r="AC6" s="47">
        <v>59529</v>
      </c>
      <c r="AD6" s="47">
        <v>130946</v>
      </c>
      <c r="AE6" s="47">
        <v>100133</v>
      </c>
      <c r="AF6" s="47">
        <v>81616</v>
      </c>
      <c r="AG6" s="47">
        <v>97597</v>
      </c>
      <c r="AH6" s="47">
        <v>104422</v>
      </c>
    </row>
    <row r="7" spans="1:34" ht="24" customHeight="1">
      <c r="A7" s="43" t="s">
        <v>53</v>
      </c>
      <c r="B7" s="27">
        <v>1095376</v>
      </c>
      <c r="C7" s="27">
        <v>1064532</v>
      </c>
      <c r="D7" s="27">
        <v>1038005</v>
      </c>
      <c r="E7" s="27">
        <v>989481</v>
      </c>
      <c r="F7" s="27">
        <v>936636</v>
      </c>
      <c r="G7" s="27">
        <v>925636</v>
      </c>
      <c r="H7" s="27">
        <v>905927</v>
      </c>
      <c r="I7" s="27">
        <v>870483</v>
      </c>
      <c r="J7" s="27">
        <v>872350</v>
      </c>
      <c r="K7" s="27">
        <v>853417</v>
      </c>
      <c r="L7" s="27">
        <v>837494</v>
      </c>
      <c r="M7" s="27">
        <v>827241</v>
      </c>
      <c r="N7" s="27">
        <v>814669</v>
      </c>
      <c r="O7" s="44">
        <v>811549</v>
      </c>
      <c r="P7" s="45">
        <v>807033</v>
      </c>
      <c r="Q7" s="45">
        <v>761290</v>
      </c>
      <c r="R7" s="45">
        <v>735479</v>
      </c>
      <c r="S7" s="45">
        <v>718355</v>
      </c>
      <c r="T7" s="45">
        <v>719627</v>
      </c>
      <c r="U7" s="45">
        <v>699648</v>
      </c>
      <c r="V7" s="45">
        <v>681883</v>
      </c>
      <c r="W7" s="45">
        <v>680468</v>
      </c>
      <c r="X7" s="45">
        <v>671378</v>
      </c>
      <c r="Y7" s="45">
        <v>665411</v>
      </c>
      <c r="Z7" s="45">
        <v>663719</v>
      </c>
      <c r="AA7" s="47">
        <v>666087</v>
      </c>
      <c r="AB7" s="47">
        <v>657050</v>
      </c>
      <c r="AC7" s="47">
        <v>666890</v>
      </c>
      <c r="AD7" s="47">
        <v>653949</v>
      </c>
      <c r="AE7" s="47">
        <v>639130</v>
      </c>
      <c r="AF7" s="47">
        <v>643880</v>
      </c>
      <c r="AG7" s="47">
        <v>653189</v>
      </c>
      <c r="AH7" s="47">
        <v>621896</v>
      </c>
    </row>
    <row r="8" spans="1:34" ht="24" customHeight="1">
      <c r="A8" s="43" t="s">
        <v>54</v>
      </c>
      <c r="B8" s="27">
        <f>1291+1354+5646+2534+100+13819</f>
        <v>24744</v>
      </c>
      <c r="C8" s="27">
        <v>17335</v>
      </c>
      <c r="D8" s="27">
        <v>15399</v>
      </c>
      <c r="E8" s="27">
        <v>16261</v>
      </c>
      <c r="F8" s="27">
        <v>17455</v>
      </c>
      <c r="G8" s="27">
        <v>18238</v>
      </c>
      <c r="H8" s="27">
        <f>1787+1096+5228+2969+11660</f>
        <v>22740</v>
      </c>
      <c r="I8" s="27">
        <f>2615+1291+5279+2874+54+8204</f>
        <v>20317</v>
      </c>
      <c r="J8" s="27">
        <f>536+1199+5372+2649+9253</f>
        <v>19009</v>
      </c>
      <c r="K8" s="27">
        <v>17641</v>
      </c>
      <c r="L8" s="27">
        <v>19653</v>
      </c>
      <c r="M8" s="27">
        <v>21523</v>
      </c>
      <c r="N8" s="27">
        <v>21255</v>
      </c>
      <c r="O8" s="44">
        <v>16323</v>
      </c>
      <c r="P8" s="45">
        <v>20070</v>
      </c>
      <c r="Q8" s="45">
        <v>17104</v>
      </c>
      <c r="R8" s="45">
        <v>34638</v>
      </c>
      <c r="S8" s="45">
        <v>28832</v>
      </c>
      <c r="T8" s="45">
        <v>20222</v>
      </c>
      <c r="U8" s="45">
        <v>18342</v>
      </c>
      <c r="V8" s="45">
        <v>28615</v>
      </c>
      <c r="W8" s="45">
        <v>29719</v>
      </c>
      <c r="X8" s="45">
        <v>31325</v>
      </c>
      <c r="Y8" s="45">
        <v>34219</v>
      </c>
      <c r="Z8" s="45">
        <v>36396</v>
      </c>
      <c r="AA8" s="47">
        <v>38044</v>
      </c>
      <c r="AB8" s="47">
        <v>37688</v>
      </c>
      <c r="AC8" s="47">
        <v>37082</v>
      </c>
      <c r="AD8" s="47">
        <v>66771</v>
      </c>
      <c r="AE8" s="47">
        <v>65959</v>
      </c>
      <c r="AF8" s="47">
        <v>78735</v>
      </c>
      <c r="AG8" s="47">
        <v>66582</v>
      </c>
      <c r="AH8" s="47">
        <v>93543</v>
      </c>
    </row>
    <row r="9" spans="1:34" ht="24" customHeight="1">
      <c r="A9" s="43" t="s">
        <v>55</v>
      </c>
      <c r="B9" s="27">
        <v>1395</v>
      </c>
      <c r="C9" s="27">
        <v>1330</v>
      </c>
      <c r="D9" s="27">
        <v>1618</v>
      </c>
      <c r="E9" s="27">
        <v>1832</v>
      </c>
      <c r="F9" s="27">
        <v>2113</v>
      </c>
      <c r="G9" s="27">
        <v>3648</v>
      </c>
      <c r="H9" s="27">
        <v>4377</v>
      </c>
      <c r="I9" s="27">
        <v>4866</v>
      </c>
      <c r="J9" s="27">
        <v>6192</v>
      </c>
      <c r="K9" s="27">
        <v>7449</v>
      </c>
      <c r="L9" s="27">
        <v>8073</v>
      </c>
      <c r="M9" s="27">
        <v>8258</v>
      </c>
      <c r="N9" s="27">
        <v>7771</v>
      </c>
      <c r="O9" s="44">
        <v>11955</v>
      </c>
      <c r="P9" s="45">
        <v>12815</v>
      </c>
      <c r="Q9" s="45">
        <v>12747</v>
      </c>
      <c r="R9" s="45">
        <v>17606</v>
      </c>
      <c r="S9" s="45">
        <v>18212</v>
      </c>
      <c r="T9" s="45">
        <v>19599</v>
      </c>
      <c r="U9" s="45">
        <v>22119</v>
      </c>
      <c r="V9" s="45">
        <v>24554</v>
      </c>
      <c r="W9" s="45">
        <v>25023</v>
      </c>
      <c r="X9" s="45">
        <v>25934</v>
      </c>
      <c r="Y9" s="45">
        <v>19735</v>
      </c>
      <c r="Z9" s="45">
        <v>25653</v>
      </c>
      <c r="AA9" s="47">
        <v>25320</v>
      </c>
      <c r="AB9" s="47">
        <v>25382</v>
      </c>
      <c r="AC9" s="47">
        <v>26684</v>
      </c>
      <c r="AD9" s="47">
        <v>52104</v>
      </c>
      <c r="AE9" s="47">
        <v>53552</v>
      </c>
      <c r="AF9" s="47">
        <v>53981</v>
      </c>
      <c r="AG9" s="47">
        <v>54661</v>
      </c>
      <c r="AH9" s="47">
        <v>47422</v>
      </c>
    </row>
    <row r="10" spans="1:34" ht="24" customHeight="1">
      <c r="A10" s="22" t="s">
        <v>56</v>
      </c>
      <c r="B10" s="23">
        <v>1379298</v>
      </c>
      <c r="C10" s="23">
        <f>SUM(C3:C9)</f>
        <v>1326041</v>
      </c>
      <c r="D10" s="23">
        <f>SUM(D3:D9)</f>
        <v>1317205</v>
      </c>
      <c r="E10" s="23">
        <f>SUM(E3:E9)</f>
        <v>1249853</v>
      </c>
      <c r="F10" s="23">
        <f>SUM(F3:F9)</f>
        <v>1206148</v>
      </c>
      <c r="G10" s="23">
        <f>SUM(G3:G9)</f>
        <v>1192870</v>
      </c>
      <c r="H10" s="23">
        <v>1198958</v>
      </c>
      <c r="I10" s="23">
        <v>1170628</v>
      </c>
      <c r="J10" s="23">
        <v>1182467</v>
      </c>
      <c r="K10" s="23">
        <v>1111157</v>
      </c>
      <c r="L10" s="23">
        <v>1133802</v>
      </c>
      <c r="M10" s="23">
        <v>1109844</v>
      </c>
      <c r="N10" s="23">
        <v>1106700</v>
      </c>
      <c r="O10" s="116">
        <v>1118658</v>
      </c>
      <c r="P10" s="117">
        <v>1175804</v>
      </c>
      <c r="Q10" s="117">
        <v>1172669</v>
      </c>
      <c r="R10" s="117">
        <v>1172380</v>
      </c>
      <c r="S10" s="117">
        <v>1098370</v>
      </c>
      <c r="T10" s="117">
        <v>1201247</v>
      </c>
      <c r="U10" s="117">
        <v>1154598</v>
      </c>
      <c r="V10" s="117">
        <v>1153804</v>
      </c>
      <c r="W10" s="117">
        <v>1151516</v>
      </c>
      <c r="X10" s="117">
        <v>1158154</v>
      </c>
      <c r="Y10" s="117">
        <v>1126094</v>
      </c>
      <c r="Z10" s="117">
        <v>1085405</v>
      </c>
      <c r="AA10" s="119">
        <v>1084787</v>
      </c>
      <c r="AB10" s="119">
        <v>1056825</v>
      </c>
      <c r="AC10" s="119">
        <v>1048573</v>
      </c>
      <c r="AD10" s="119">
        <v>1174262</v>
      </c>
      <c r="AE10" s="119">
        <v>1135482</v>
      </c>
      <c r="AF10" s="119">
        <v>1124250</v>
      </c>
      <c r="AG10" s="119">
        <v>1126281</v>
      </c>
      <c r="AH10" s="119">
        <v>1105590</v>
      </c>
    </row>
    <row r="11" spans="1:34" ht="24" customHeight="1" thickBot="1">
      <c r="A11" s="6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8"/>
      <c r="AB11" s="68"/>
      <c r="AC11" s="68"/>
      <c r="AD11" s="68"/>
      <c r="AE11" s="68" t="s">
        <v>3</v>
      </c>
      <c r="AF11" s="68" t="s">
        <v>3</v>
      </c>
      <c r="AG11" s="68" t="s">
        <v>3</v>
      </c>
      <c r="AH11" s="68" t="s">
        <v>3</v>
      </c>
    </row>
    <row r="12" spans="1:34" ht="24" customHeight="1" thickTop="1">
      <c r="A12" s="59" t="s">
        <v>57</v>
      </c>
      <c r="B12" s="26">
        <v>36636</v>
      </c>
      <c r="C12" s="26">
        <v>34609</v>
      </c>
      <c r="D12" s="26">
        <v>34714</v>
      </c>
      <c r="E12" s="26">
        <v>27504</v>
      </c>
      <c r="F12" s="26">
        <v>30943</v>
      </c>
      <c r="G12" s="26">
        <v>32062</v>
      </c>
      <c r="H12" s="26">
        <v>21946</v>
      </c>
      <c r="I12" s="26">
        <v>23486</v>
      </c>
      <c r="J12" s="26">
        <v>31613</v>
      </c>
      <c r="K12" s="26">
        <v>20093</v>
      </c>
      <c r="L12" s="26">
        <v>41307</v>
      </c>
      <c r="M12" s="26">
        <v>34643</v>
      </c>
      <c r="N12" s="64">
        <v>42606</v>
      </c>
      <c r="O12" s="64">
        <v>56731</v>
      </c>
      <c r="P12" s="65">
        <v>49550</v>
      </c>
      <c r="Q12" s="65">
        <v>62428</v>
      </c>
      <c r="R12" s="65">
        <v>57019</v>
      </c>
      <c r="S12" s="65">
        <v>53827</v>
      </c>
      <c r="T12" s="65">
        <v>179085</v>
      </c>
      <c r="U12" s="65">
        <v>166172</v>
      </c>
      <c r="V12" s="65">
        <v>174031</v>
      </c>
      <c r="W12" s="65">
        <v>167218</v>
      </c>
      <c r="X12" s="65">
        <v>110460</v>
      </c>
      <c r="Y12" s="65">
        <v>110025</v>
      </c>
      <c r="Z12" s="65">
        <v>97352</v>
      </c>
      <c r="AA12" s="53">
        <v>98718</v>
      </c>
      <c r="AB12" s="53">
        <v>90206</v>
      </c>
      <c r="AC12" s="53">
        <v>91018</v>
      </c>
      <c r="AD12" s="53">
        <v>115300</v>
      </c>
      <c r="AE12" s="53">
        <v>112876</v>
      </c>
      <c r="AF12" s="53">
        <v>112642</v>
      </c>
      <c r="AG12" s="53">
        <v>134542</v>
      </c>
      <c r="AH12" s="53">
        <v>131648</v>
      </c>
    </row>
    <row r="13" spans="1:34" ht="24" customHeight="1">
      <c r="A13" s="43" t="s">
        <v>58</v>
      </c>
      <c r="B13" s="27">
        <v>694820</v>
      </c>
      <c r="C13" s="27">
        <v>693043</v>
      </c>
      <c r="D13" s="27">
        <v>692675</v>
      </c>
      <c r="E13" s="27">
        <v>654689</v>
      </c>
      <c r="F13" s="27">
        <v>622021</v>
      </c>
      <c r="G13" s="27">
        <v>605158</v>
      </c>
      <c r="H13" s="27">
        <v>638781</v>
      </c>
      <c r="I13" s="27">
        <v>627954</v>
      </c>
      <c r="J13" s="27">
        <v>594565</v>
      </c>
      <c r="K13" s="27">
        <v>589725</v>
      </c>
      <c r="L13" s="27">
        <v>583715</v>
      </c>
      <c r="M13" s="27">
        <v>556841</v>
      </c>
      <c r="N13" s="44">
        <v>545208</v>
      </c>
      <c r="O13" s="44">
        <v>559051</v>
      </c>
      <c r="P13" s="45">
        <v>624924</v>
      </c>
      <c r="Q13" s="45">
        <v>621023</v>
      </c>
      <c r="R13" s="45">
        <v>624063</v>
      </c>
      <c r="S13" s="45">
        <v>551435</v>
      </c>
      <c r="T13" s="45">
        <v>497583</v>
      </c>
      <c r="U13" s="45">
        <v>473356</v>
      </c>
      <c r="V13" s="45">
        <v>468661</v>
      </c>
      <c r="W13" s="45">
        <v>456662</v>
      </c>
      <c r="X13" s="45">
        <v>465742</v>
      </c>
      <c r="Y13" s="45">
        <v>448931</v>
      </c>
      <c r="Z13" s="45">
        <v>433647</v>
      </c>
      <c r="AA13" s="47">
        <v>421058</v>
      </c>
      <c r="AB13" s="47">
        <v>439853</v>
      </c>
      <c r="AC13" s="47">
        <v>440392</v>
      </c>
      <c r="AD13" s="47">
        <v>455402</v>
      </c>
      <c r="AE13" s="47">
        <v>443590</v>
      </c>
      <c r="AF13" s="47">
        <v>450163</v>
      </c>
      <c r="AG13" s="47">
        <v>425158</v>
      </c>
      <c r="AH13" s="47">
        <v>436688</v>
      </c>
    </row>
    <row r="14" spans="1:34" ht="24" customHeight="1">
      <c r="A14" s="43" t="s">
        <v>59</v>
      </c>
      <c r="B14" s="27">
        <v>351005</v>
      </c>
      <c r="C14" s="27">
        <v>314412</v>
      </c>
      <c r="D14" s="27">
        <v>308362</v>
      </c>
      <c r="E14" s="27">
        <v>297684</v>
      </c>
      <c r="F14" s="27">
        <v>284484</v>
      </c>
      <c r="G14" s="27">
        <v>281874</v>
      </c>
      <c r="H14" s="27">
        <v>267853</v>
      </c>
      <c r="I14" s="27">
        <v>242274</v>
      </c>
      <c r="J14" s="27">
        <v>244649</v>
      </c>
      <c r="K14" s="27">
        <v>223944</v>
      </c>
      <c r="L14" s="27">
        <v>220800</v>
      </c>
      <c r="M14" s="27">
        <v>220837</v>
      </c>
      <c r="N14" s="44">
        <v>217658</v>
      </c>
      <c r="O14" s="44">
        <v>209344</v>
      </c>
      <c r="P14" s="45">
        <v>207699</v>
      </c>
      <c r="Q14" s="45">
        <v>212792</v>
      </c>
      <c r="R14" s="45">
        <v>210902</v>
      </c>
      <c r="S14" s="45">
        <v>207028</v>
      </c>
      <c r="T14" s="45">
        <v>233785</v>
      </c>
      <c r="U14" s="45">
        <v>231378</v>
      </c>
      <c r="V14" s="45">
        <v>234844</v>
      </c>
      <c r="W14" s="45">
        <v>239642</v>
      </c>
      <c r="X14" s="45">
        <v>298938</v>
      </c>
      <c r="Y14" s="45">
        <v>297459</v>
      </c>
      <c r="Z14" s="45">
        <v>292444</v>
      </c>
      <c r="AA14" s="47">
        <v>309265</v>
      </c>
      <c r="AB14" s="47">
        <v>285924</v>
      </c>
      <c r="AC14" s="47">
        <v>278052</v>
      </c>
      <c r="AD14" s="47">
        <v>356681</v>
      </c>
      <c r="AE14" s="47">
        <v>337902</v>
      </c>
      <c r="AF14" s="47">
        <v>314769</v>
      </c>
      <c r="AG14" s="47">
        <v>308350</v>
      </c>
      <c r="AH14" s="47">
        <v>299645</v>
      </c>
    </row>
    <row r="15" spans="1:34" ht="24" customHeight="1">
      <c r="A15" s="43" t="s">
        <v>61</v>
      </c>
      <c r="B15" s="27">
        <f>7896+28805</f>
        <v>36701</v>
      </c>
      <c r="C15" s="27">
        <v>30997</v>
      </c>
      <c r="D15" s="27">
        <v>32614</v>
      </c>
      <c r="E15" s="27">
        <v>37764</v>
      </c>
      <c r="F15" s="27">
        <v>39984</v>
      </c>
      <c r="G15" s="27">
        <v>27615</v>
      </c>
      <c r="H15" s="27">
        <f>1469+54+25339</f>
        <v>26862</v>
      </c>
      <c r="I15" s="27">
        <f>1361+36080</f>
        <v>37441</v>
      </c>
      <c r="J15" s="27">
        <f>2427+9+73825</f>
        <v>76261</v>
      </c>
      <c r="K15" s="27">
        <v>24681</v>
      </c>
      <c r="L15" s="27">
        <v>34913</v>
      </c>
      <c r="M15" s="27">
        <v>48310</v>
      </c>
      <c r="N15" s="44">
        <v>31445</v>
      </c>
      <c r="O15" s="44">
        <v>26844</v>
      </c>
      <c r="P15" s="45">
        <v>38854</v>
      </c>
      <c r="Q15" s="45">
        <v>34710</v>
      </c>
      <c r="R15" s="45">
        <v>43140</v>
      </c>
      <c r="S15" s="45">
        <v>32443</v>
      </c>
      <c r="T15" s="45">
        <v>46593</v>
      </c>
      <c r="U15" s="45">
        <v>43972</v>
      </c>
      <c r="V15" s="45">
        <v>46681</v>
      </c>
      <c r="W15" s="45">
        <v>42750</v>
      </c>
      <c r="X15" s="45">
        <v>43541</v>
      </c>
      <c r="Y15" s="45">
        <v>38827</v>
      </c>
      <c r="Z15" s="45">
        <v>28569</v>
      </c>
      <c r="AA15" s="47">
        <v>29687</v>
      </c>
      <c r="AB15" s="47">
        <v>26561</v>
      </c>
      <c r="AC15" s="47">
        <v>26130</v>
      </c>
      <c r="AD15" s="47">
        <v>29166</v>
      </c>
      <c r="AE15" s="47">
        <v>31485</v>
      </c>
      <c r="AF15" s="47">
        <v>28465</v>
      </c>
      <c r="AG15" s="47">
        <v>35618</v>
      </c>
      <c r="AH15" s="47">
        <v>28142</v>
      </c>
    </row>
    <row r="16" spans="1:34" ht="24" customHeight="1">
      <c r="A16" s="43" t="s">
        <v>62</v>
      </c>
      <c r="B16" s="27">
        <v>30</v>
      </c>
      <c r="C16" s="27">
        <v>30</v>
      </c>
      <c r="D16" s="27">
        <v>73</v>
      </c>
      <c r="E16" s="27">
        <v>27</v>
      </c>
      <c r="F16" s="27">
        <v>41</v>
      </c>
      <c r="G16" s="27">
        <v>27</v>
      </c>
      <c r="H16" s="27">
        <v>155</v>
      </c>
      <c r="I16" s="27">
        <v>155</v>
      </c>
      <c r="J16" s="27">
        <v>1095</v>
      </c>
      <c r="K16" s="27">
        <v>1095</v>
      </c>
      <c r="L16" s="27">
        <v>1514</v>
      </c>
      <c r="M16" s="27">
        <v>1510</v>
      </c>
      <c r="N16" s="44">
        <v>1305</v>
      </c>
      <c r="O16" s="44">
        <v>1518</v>
      </c>
      <c r="P16" s="45">
        <v>1518</v>
      </c>
      <c r="Q16" s="45">
        <v>1450</v>
      </c>
      <c r="R16" s="45">
        <v>2969</v>
      </c>
      <c r="S16" s="45">
        <v>2834</v>
      </c>
      <c r="T16" s="45">
        <v>3214</v>
      </c>
      <c r="U16" s="45">
        <v>3826</v>
      </c>
      <c r="V16" s="45">
        <v>4195</v>
      </c>
      <c r="W16" s="45">
        <v>3885</v>
      </c>
      <c r="X16" s="45">
        <v>4761</v>
      </c>
      <c r="Y16" s="45">
        <v>1022</v>
      </c>
      <c r="Z16" s="45">
        <v>963</v>
      </c>
      <c r="AA16" s="47">
        <v>893</v>
      </c>
      <c r="AB16" s="47">
        <v>603</v>
      </c>
      <c r="AC16" s="47">
        <v>959</v>
      </c>
      <c r="AD16" s="47">
        <v>9839</v>
      </c>
      <c r="AE16" s="47">
        <v>9385</v>
      </c>
      <c r="AF16" s="47">
        <v>7985</v>
      </c>
      <c r="AG16" s="47">
        <v>14906</v>
      </c>
      <c r="AH16" s="47">
        <v>13617</v>
      </c>
    </row>
    <row r="17" spans="1:34" ht="24" customHeight="1">
      <c r="A17" s="43" t="s">
        <v>60</v>
      </c>
      <c r="B17" s="27">
        <v>13900</v>
      </c>
      <c r="C17" s="27">
        <v>13340</v>
      </c>
      <c r="D17" s="27">
        <v>12875</v>
      </c>
      <c r="E17" s="42">
        <v>72</v>
      </c>
      <c r="F17" s="42">
        <v>74</v>
      </c>
      <c r="G17" s="42">
        <v>77</v>
      </c>
      <c r="H17" s="42">
        <v>229</v>
      </c>
      <c r="I17" s="42">
        <v>374</v>
      </c>
      <c r="J17" s="42">
        <v>390</v>
      </c>
      <c r="K17" s="42">
        <v>388</v>
      </c>
      <c r="L17" s="42">
        <v>407</v>
      </c>
      <c r="M17" s="42">
        <v>412</v>
      </c>
      <c r="N17" s="69">
        <v>632</v>
      </c>
      <c r="O17" s="69">
        <v>639</v>
      </c>
      <c r="P17" s="70">
        <v>775</v>
      </c>
      <c r="Q17" s="70">
        <v>414</v>
      </c>
      <c r="R17" s="70">
        <v>427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</row>
    <row r="18" spans="1:34" ht="24" customHeight="1">
      <c r="A18" s="43" t="s">
        <v>63</v>
      </c>
      <c r="B18" s="27">
        <v>246206</v>
      </c>
      <c r="C18" s="27">
        <v>239610</v>
      </c>
      <c r="D18" s="27">
        <v>235892</v>
      </c>
      <c r="E18" s="27">
        <v>232113</v>
      </c>
      <c r="F18" s="27">
        <v>228601</v>
      </c>
      <c r="G18" s="27">
        <v>246057</v>
      </c>
      <c r="H18" s="27">
        <v>243132</v>
      </c>
      <c r="I18" s="27">
        <v>238944</v>
      </c>
      <c r="J18" s="27">
        <v>233894</v>
      </c>
      <c r="K18" s="27">
        <v>251231</v>
      </c>
      <c r="L18" s="27">
        <v>251146</v>
      </c>
      <c r="M18" s="27">
        <v>247291</v>
      </c>
      <c r="N18" s="44">
        <v>267846</v>
      </c>
      <c r="O18" s="44">
        <v>264531</v>
      </c>
      <c r="P18" s="45">
        <v>252484</v>
      </c>
      <c r="Q18" s="45">
        <v>239852</v>
      </c>
      <c r="R18" s="45">
        <v>233860</v>
      </c>
      <c r="S18" s="45">
        <v>250803</v>
      </c>
      <c r="T18" s="45">
        <v>240987</v>
      </c>
      <c r="U18" s="45">
        <v>235894</v>
      </c>
      <c r="V18" s="45">
        <v>225392</v>
      </c>
      <c r="W18" s="45">
        <v>241359</v>
      </c>
      <c r="X18" s="45">
        <v>234712</v>
      </c>
      <c r="Y18" s="45">
        <v>229830</v>
      </c>
      <c r="Z18" s="45">
        <v>232430</v>
      </c>
      <c r="AA18" s="47">
        <v>225166</v>
      </c>
      <c r="AB18" s="47">
        <v>213678</v>
      </c>
      <c r="AC18" s="47">
        <v>212022</v>
      </c>
      <c r="AD18" s="47">
        <v>207874</v>
      </c>
      <c r="AE18" s="47">
        <v>200244</v>
      </c>
      <c r="AF18" s="47">
        <v>210226</v>
      </c>
      <c r="AG18" s="47">
        <v>207707</v>
      </c>
      <c r="AH18" s="47">
        <v>195849</v>
      </c>
    </row>
    <row r="19" spans="1:34" ht="24" customHeight="1">
      <c r="A19" s="22" t="s">
        <v>56</v>
      </c>
      <c r="B19" s="23">
        <v>1379298</v>
      </c>
      <c r="C19" s="23">
        <f>SUM(C12:C18)</f>
        <v>1326041</v>
      </c>
      <c r="D19" s="23">
        <f>SUM(D12:D18)</f>
        <v>1317205</v>
      </c>
      <c r="E19" s="23">
        <f>SUM(E12:E18)</f>
        <v>1249853</v>
      </c>
      <c r="F19" s="23">
        <f>SUM(F12:F18)</f>
        <v>1206148</v>
      </c>
      <c r="G19" s="23">
        <f>SUM(G12:G18)</f>
        <v>1192870</v>
      </c>
      <c r="H19" s="23">
        <v>1198958</v>
      </c>
      <c r="I19" s="23">
        <v>1170628</v>
      </c>
      <c r="J19" s="23">
        <v>1182467</v>
      </c>
      <c r="K19" s="23">
        <v>1111157</v>
      </c>
      <c r="L19" s="23">
        <v>1133802</v>
      </c>
      <c r="M19" s="23">
        <v>1109844</v>
      </c>
      <c r="N19" s="116">
        <v>1106700</v>
      </c>
      <c r="O19" s="116">
        <v>1118658</v>
      </c>
      <c r="P19" s="117">
        <v>1175804</v>
      </c>
      <c r="Q19" s="117">
        <v>1172669</v>
      </c>
      <c r="R19" s="117">
        <v>1172380</v>
      </c>
      <c r="S19" s="117">
        <v>1098370</v>
      </c>
      <c r="T19" s="117">
        <v>1201247</v>
      </c>
      <c r="U19" s="117">
        <v>1154598</v>
      </c>
      <c r="V19" s="117">
        <v>1153804</v>
      </c>
      <c r="W19" s="117">
        <v>1151516</v>
      </c>
      <c r="X19" s="117">
        <v>1158154</v>
      </c>
      <c r="Y19" s="117">
        <v>1126094</v>
      </c>
      <c r="Z19" s="117">
        <v>1085405</v>
      </c>
      <c r="AA19" s="119">
        <v>1084787</v>
      </c>
      <c r="AB19" s="119">
        <v>1056825</v>
      </c>
      <c r="AC19" s="119">
        <v>1048573</v>
      </c>
      <c r="AD19" s="119">
        <v>1174262</v>
      </c>
      <c r="AE19" s="119">
        <v>1135482</v>
      </c>
      <c r="AF19" s="119">
        <v>1124250</v>
      </c>
      <c r="AG19" s="119">
        <v>1126281</v>
      </c>
      <c r="AH19" s="119">
        <v>1105590</v>
      </c>
    </row>
    <row r="20" spans="1:34" ht="15" customHeight="1"/>
    <row r="21" spans="1:34" ht="24" customHeight="1">
      <c r="A21" s="171" t="s">
        <v>125</v>
      </c>
      <c r="B21" s="171"/>
      <c r="C21" s="171"/>
      <c r="D21" s="171"/>
      <c r="E21" s="171"/>
      <c r="F21" s="171"/>
    </row>
    <row r="22" spans="1:34" ht="24" customHeight="1">
      <c r="A22" s="114" t="s">
        <v>9</v>
      </c>
      <c r="B22" s="114"/>
      <c r="C22" s="114"/>
      <c r="D22" s="114"/>
      <c r="E22" s="114"/>
      <c r="F22" s="114"/>
      <c r="X22" s="54" t="s">
        <v>3</v>
      </c>
    </row>
    <row r="23" spans="1:34" ht="24" customHeight="1"/>
    <row r="24" spans="1:34">
      <c r="F24" s="54" t="s">
        <v>3</v>
      </c>
      <c r="X24" s="54">
        <f>1361+36080</f>
        <v>37441</v>
      </c>
    </row>
    <row r="25" spans="1:34">
      <c r="H25" s="54">
        <f>SUM(H3:H9)-H10</f>
        <v>0</v>
      </c>
      <c r="I25" s="54">
        <f>SUM(I3:I9)-I10</f>
        <v>0</v>
      </c>
      <c r="J25" s="54">
        <f>SUM(J3:J9)-J10</f>
        <v>0</v>
      </c>
    </row>
    <row r="26" spans="1:34">
      <c r="H26" s="54">
        <f>SUM(H12:H18)-H19</f>
        <v>0</v>
      </c>
      <c r="I26" s="54">
        <f>SUM(I12:I18)-I19</f>
        <v>0</v>
      </c>
      <c r="J26" s="54">
        <f>SUM(J12:J18)-J19</f>
        <v>0</v>
      </c>
    </row>
    <row r="31" spans="1:34" ht="41.25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8" orientation="landscape" r:id="rId1"/>
  <headerFooter scaleWithDoc="0"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Forsíða</vt:lpstr>
      <vt:lpstr>Efnisyfirlit</vt:lpstr>
      <vt:lpstr>Fyrirvari</vt:lpstr>
      <vt:lpstr>Fjárfestatengsl</vt:lpstr>
      <vt:lpstr>Landsbankinn í hnotskurn</vt:lpstr>
      <vt:lpstr>Rekstur - ár</vt:lpstr>
      <vt:lpstr>Rekstur - ársf</vt:lpstr>
      <vt:lpstr>Efnahagur - ár</vt:lpstr>
      <vt:lpstr>Efnahagur - ársfj</vt:lpstr>
      <vt:lpstr>Kennitölur - ár</vt:lpstr>
      <vt:lpstr>Kennitölur - ársfj</vt:lpstr>
      <vt:lpstr>Starfsþættir</vt:lpstr>
      <vt:lpstr>Lykiltölur og hlutföll</vt:lpstr>
      <vt:lpstr>Sheet1</vt:lpstr>
      <vt:lpstr>'Efnahagur - ár'!Print_Area</vt:lpstr>
      <vt:lpstr>'Efnahagur - ársfj'!Print_Area</vt:lpstr>
      <vt:lpstr>Efnisyfirlit!Print_Area</vt:lpstr>
      <vt:lpstr>Fjárfestatengsl!Print_Area</vt:lpstr>
      <vt:lpstr>Forsíða!Print_Area</vt:lpstr>
      <vt:lpstr>Fyrirvari!Print_Area</vt:lpstr>
      <vt:lpstr>'Kennitölur - ár'!Print_Area</vt:lpstr>
      <vt:lpstr>'Kennitölur - ársfj'!Print_Area</vt:lpstr>
      <vt:lpstr>'Lykiltölur og hlutföll'!Print_Area</vt:lpstr>
      <vt:lpstr>'Rekstur - ár'!Print_Area</vt:lpstr>
      <vt:lpstr>'Rekstur - ársf'!Print_Area</vt:lpstr>
      <vt:lpstr>Starfsþættir!Print_Area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Arney Magnúsdóttir</cp:lastModifiedBy>
  <cp:lastPrinted>2019-04-30T13:40:37Z</cp:lastPrinted>
  <dcterms:created xsi:type="dcterms:W3CDTF">2016-05-06T09:03:52Z</dcterms:created>
  <dcterms:modified xsi:type="dcterms:W3CDTF">2019-04-30T13:43:00Z</dcterms:modified>
</cp:coreProperties>
</file>