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645" yWindow="135" windowWidth="15645" windowHeight="13395" tabRatio="96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1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externalReferences>
    <externalReference r:id="rId14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ár'!$A$1:$J$26</definedName>
    <definedName name="_xlnm.Print_Area" localSheetId="10">'Kennitölur - ársfj'!$A$1:$N$27</definedName>
    <definedName name="_xlnm.Print_Area" localSheetId="4">'Landsbankinn í hnotskurn'!$A$1:$M$69</definedName>
    <definedName name="_xlnm.Print_Area" localSheetId="12">'Lykiltölur og hlutföll'!$A$1:$H$45</definedName>
    <definedName name="_xlnm.Print_Area" localSheetId="5">'Rekstur - ár'!$A$1:$K$27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1" l="1"/>
  <c r="K23" i="51"/>
  <c r="L22" i="51"/>
  <c r="K22" i="51"/>
  <c r="L14" i="51"/>
  <c r="K14" i="51"/>
  <c r="L13" i="51"/>
  <c r="K13" i="51"/>
  <c r="L12" i="51"/>
  <c r="K12" i="51"/>
  <c r="L11" i="51"/>
  <c r="K11" i="51"/>
  <c r="L10" i="51"/>
  <c r="K10" i="51"/>
  <c r="L9" i="51"/>
  <c r="K9" i="51"/>
  <c r="L8" i="51"/>
  <c r="K8" i="51"/>
  <c r="L7" i="51"/>
  <c r="K7" i="51"/>
  <c r="L6" i="51"/>
  <c r="K6" i="51"/>
  <c r="B10" i="25" l="1"/>
  <c r="B21" i="33"/>
  <c r="B9" i="33"/>
  <c r="B19" i="34" l="1"/>
  <c r="B10" i="34"/>
  <c r="B22" i="33"/>
  <c r="B25" i="33" s="1"/>
  <c r="B16" i="33"/>
  <c r="B5" i="33"/>
  <c r="H15" i="25" l="1"/>
  <c r="H16" i="25"/>
  <c r="H14" i="25"/>
  <c r="H8" i="25"/>
  <c r="H6" i="25"/>
  <c r="H5" i="25"/>
  <c r="H4" i="25"/>
  <c r="H3" i="25"/>
  <c r="C19" i="34"/>
  <c r="C10" i="34"/>
  <c r="B19" i="24"/>
  <c r="B10" i="24"/>
  <c r="C25" i="33"/>
  <c r="C22" i="33"/>
  <c r="C21" i="33"/>
  <c r="C16" i="33"/>
  <c r="C5" i="33"/>
  <c r="H7" i="25" l="1"/>
  <c r="H10" i="25" s="1"/>
  <c r="B25" i="23"/>
  <c r="B22" i="23"/>
  <c r="B21" i="23"/>
  <c r="B19" i="23"/>
  <c r="B16" i="23"/>
  <c r="B10" i="23"/>
  <c r="B9" i="23"/>
  <c r="B5" i="23"/>
  <c r="C7" i="25" l="1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2" i="25" s="1"/>
  <c r="D15" i="34" l="1"/>
  <c r="D8" i="34"/>
  <c r="D21" i="33"/>
  <c r="D9" i="33"/>
  <c r="D25" i="34" l="1"/>
  <c r="D26" i="34"/>
  <c r="T24" i="34" l="1"/>
  <c r="E15" i="34" l="1"/>
  <c r="E8" i="34"/>
  <c r="E21" i="33"/>
  <c r="E9" i="33"/>
  <c r="E25" i="34" l="1"/>
  <c r="E26" i="34"/>
  <c r="K10" i="23" l="1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F15" i="34"/>
  <c r="F26" i="34" s="1"/>
  <c r="F8" i="34"/>
  <c r="F25" i="34" s="1"/>
  <c r="K13" i="23"/>
  <c r="J13" i="23"/>
  <c r="I13" i="23"/>
  <c r="H13" i="23"/>
  <c r="G13" i="23"/>
  <c r="F13" i="23"/>
  <c r="E13" i="23"/>
  <c r="D13" i="23"/>
  <c r="C13" i="23"/>
  <c r="F21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R10" i="33"/>
  <c r="Q10" i="33"/>
  <c r="O10" i="33"/>
  <c r="N10" i="33"/>
  <c r="M10" i="33"/>
  <c r="L10" i="33"/>
  <c r="K10" i="33"/>
  <c r="J10" i="33"/>
  <c r="I10" i="33"/>
  <c r="H10" i="33"/>
  <c r="G10" i="33"/>
  <c r="R9" i="33"/>
  <c r="Q9" i="33"/>
  <c r="O9" i="33"/>
  <c r="N9" i="33"/>
  <c r="M9" i="33"/>
  <c r="L9" i="33"/>
  <c r="K9" i="33"/>
  <c r="J9" i="33"/>
  <c r="I9" i="33"/>
  <c r="H9" i="33"/>
  <c r="G9" i="33"/>
  <c r="F9" i="33"/>
</calcChain>
</file>

<file path=xl/sharedStrings.xml><?xml version="1.0" encoding="utf-8"?>
<sst xmlns="http://schemas.openxmlformats.org/spreadsheetml/2006/main" count="413" uniqueCount="219">
  <si>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</si>
  <si>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</si>
  <si>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</si>
  <si>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</si>
  <si>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</si>
  <si>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</si>
  <si>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</si>
  <si>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</si>
  <si>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</si>
  <si>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</si>
  <si>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</si>
  <si>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</si>
  <si>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</si>
  <si>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</si>
  <si>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</si>
  <si>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</si>
  <si>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</si>
  <si>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</si>
  <si>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</si>
  <si>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</si>
  <si>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</si>
  <si>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</si>
  <si>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</si>
  <si>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</si>
  <si>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</si>
  <si>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</si>
  <si>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</si>
  <si>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</si>
  <si>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</si>
  <si>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</si>
  <si>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</si>
  <si>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</si>
  <si>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</si>
  <si>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</si>
  <si>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</si>
  <si>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</si>
  <si>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</si>
  <si>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</si>
  <si>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</si>
  <si>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</si>
  <si>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</si>
  <si>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</si>
  <si>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</si>
  <si>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</si>
  <si>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</si>
  <si>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</si>
  <si>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</si>
  <si>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</si>
  <si>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</si>
  <si>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</si>
  <si>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</si>
  <si>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</si>
  <si>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</si>
  <si>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</si>
  <si>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</si>
  <si>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</si>
  <si>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</si>
  <si>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</si>
  <si>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</si>
  <si>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</si>
  <si>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</si>
  <si>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</si>
  <si>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</si>
  <si>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</si>
  <si>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</si>
  <si>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</si>
  <si>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</si>
  <si>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</si>
  <si>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</si>
  <si>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</si>
  <si>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</si>
  <si>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</si>
  <si>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</si>
  <si>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</si>
  <si>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</si>
  <si>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</si>
  <si>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</si>
  <si>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</si>
  <si>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</si>
  <si>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</si>
  <si>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</si>
  <si>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</si>
  <si>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</si>
  <si>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</si>
  <si>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</si>
  <si>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</si>
  <si>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</si>
  <si>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</si>
  <si>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</si>
  <si>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</si>
  <si>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</si>
  <si>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</si>
  <si>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</si>
  <si>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</si>
  <si>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</si>
  <si>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</si>
  <si>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</si>
  <si>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</si>
  <si>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</si>
  <si>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</si>
  <si>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</si>
  <si>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</si>
  <si>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</si>
  <si>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</si>
  <si>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</si>
  <si>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</si>
  <si>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</si>
  <si>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</si>
  <si>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</si>
  <si>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</si>
  <si>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</si>
  <si>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</si>
  <si>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</si>
  <si>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</si>
  <si>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</si>
  <si>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</si>
  <si>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</si>
  <si>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</si>
  <si>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</si>
  <si>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</si>
  <si>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</si>
  <si>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</si>
  <si>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</si>
  <si>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</si>
  <si>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</si>
  <si>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</si>
  <si>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</si>
  <si>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</si>
  <si>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</si>
  <si>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</si>
  <si>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</si>
  <si>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</si>
  <si>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</si>
  <si>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</si>
  <si>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</si>
  <si>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</si>
  <si>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</si>
  <si>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</si>
  <si>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</si>
  <si>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</si>
  <si>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</si>
  <si>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</si>
  <si>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</si>
  <si>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</si>
  <si>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</si>
  <si>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</si>
  <si>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</si>
  <si>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</si>
  <si>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</si>
  <si>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</si>
  <si>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</si>
  <si>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</si>
  <si>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</si>
  <si>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</si>
  <si>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</si>
  <si>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</si>
  <si>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</si>
  <si>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</si>
  <si>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</si>
  <si>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</si>
  <si>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</si>
  <si>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</si>
  <si>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</si>
  <si>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</si>
  <si>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</si>
  <si>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</si>
  <si>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</si>
  <si>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Afkoma fyrir skatta / meðalstaða eigin fjár á tímabili</t>
  </si>
  <si>
    <t>Afkoma / meðalstaða eigin fjár á tímabili</t>
  </si>
  <si>
    <t>Leiðrétt arðsemi eftir skatta</t>
  </si>
  <si>
    <t>(Afkoma - bankaskattur - jákvæðar virðisbreytingar *0,74) / meðalstaða eigin fjár á tímabili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</si>
  <si>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</si>
  <si>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</si>
  <si>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</si>
  <si>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</si>
  <si>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</si>
  <si>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</si>
  <si>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</si>
  <si>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</si>
  <si>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</si>
  <si>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</si>
  <si>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</si>
  <si>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</si>
  <si>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</si>
  <si>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</si>
  <si>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</si>
  <si>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</si>
  <si>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</si>
  <si>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</si>
  <si>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</si>
  <si>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</si>
  <si>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</si>
  <si>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</si>
  <si>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F2 2017</t>
  </si>
  <si>
    <t>Ársverk í lok tímabils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</si>
  <si>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</si>
  <si>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</si>
  <si>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</si>
  <si>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</si>
  <si>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</si>
  <si>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3. maí 2018 - Uppgjör 1F 2018</t>
  </si>
  <si>
    <t>26. júlí 2018 - Uppgjör 1H 2018</t>
  </si>
  <si>
    <t>25. október 2018 - Uppgjör 3F 2018</t>
  </si>
  <si>
    <t>7. febrúar 2019 - Ársuppgjör 2018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</si>
  <si>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</si>
  <si>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</si>
  <si>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</si>
  <si>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</si>
  <si>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</si>
  <si>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31. mars 2018</t>
  </si>
  <si>
    <t>F1 2018</t>
  </si>
  <si>
    <t>Starfsþættir - 1.1. - 31.3.2018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</si>
  <si>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</si>
  <si>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</si>
  <si>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</si>
  <si>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</si>
  <si>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</si>
  <si>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</si>
  <si>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Eiginfjárhlutfall 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</si>
</sst>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56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5">
    <xf numFmtId="0" fontId="0" fillId="0" borderId="0" xfId="0"/>
    <xf numFmtId="3" fontId="12" fillId="2" borderId="9" xfId="0" applyNumberFormat="1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left" vertical="center" wrapText="1" readingOrder="1"/>
    </xf>
    <xf numFmtId="3" fontId="13" fillId="0" borderId="4" xfId="0" applyNumberFormat="1" applyFont="1" applyBorder="1" applyAlignment="1">
      <alignment horizontal="center" vertical="center" wrapText="1" readingOrder="1"/>
    </xf>
    <xf numFmtId="3" fontId="13" fillId="0" borderId="2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left" vertical="center" wrapText="1" readingOrder="1"/>
    </xf>
    <xf numFmtId="3" fontId="13" fillId="0" borderId="7" xfId="0" applyNumberFormat="1" applyFont="1" applyBorder="1" applyAlignment="1">
      <alignment horizontal="center" vertical="center" wrapText="1" readingOrder="1"/>
    </xf>
    <xf numFmtId="3" fontId="13" fillId="0" borderId="5" xfId="0" applyNumberFormat="1" applyFont="1" applyBorder="1" applyAlignment="1">
      <alignment horizontal="center" vertical="center" wrapText="1" readingOrder="1"/>
    </xf>
    <xf numFmtId="3" fontId="16" fillId="0" borderId="5" xfId="0" applyNumberFormat="1" applyFont="1" applyBorder="1" applyAlignment="1">
      <alignment horizontal="center" vertical="center" wrapText="1" readingOrder="1"/>
    </xf>
    <xf numFmtId="3" fontId="16" fillId="0" borderId="6" xfId="0" applyNumberFormat="1" applyFont="1" applyBorder="1" applyAlignment="1">
      <alignment horizontal="center" vertical="center" wrapText="1" readingOrder="1"/>
    </xf>
    <xf numFmtId="3" fontId="16" fillId="0" borderId="7" xfId="0" applyNumberFormat="1" applyFont="1" applyBorder="1" applyAlignment="1">
      <alignment horizontal="center" vertical="center" wrapText="1" readingOrder="1"/>
    </xf>
    <xf numFmtId="3" fontId="19" fillId="0" borderId="5" xfId="0" applyNumberFormat="1" applyFont="1" applyBorder="1" applyAlignment="1">
      <alignment horizontal="center" vertical="center" wrapText="1" readingOrder="1"/>
    </xf>
    <xf numFmtId="3" fontId="19" fillId="0" borderId="6" xfId="0" applyNumberFormat="1" applyFont="1" applyBorder="1" applyAlignment="1">
      <alignment horizontal="center" vertical="center" wrapText="1" readingOrder="1"/>
    </xf>
    <xf numFmtId="3" fontId="19" fillId="0" borderId="7" xfId="0" applyNumberFormat="1" applyFont="1" applyBorder="1" applyAlignment="1">
      <alignment horizontal="center" vertical="center" wrapText="1" readingOrder="1"/>
    </xf>
    <xf numFmtId="9" fontId="16" fillId="0" borderId="5" xfId="0" applyNumberFormat="1" applyFont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center" vertical="center" wrapText="1" readingOrder="1"/>
    </xf>
    <xf numFmtId="9" fontId="19" fillId="0" borderId="5" xfId="0" applyNumberFormat="1" applyFont="1" applyBorder="1" applyAlignment="1">
      <alignment horizontal="center" vertical="center" wrapText="1" readingOrder="1"/>
    </xf>
    <xf numFmtId="9" fontId="19" fillId="0" borderId="6" xfId="0" applyNumberFormat="1" applyFont="1" applyBorder="1" applyAlignment="1">
      <alignment horizontal="center" vertical="center" wrapText="1" readingOrder="1"/>
    </xf>
    <xf numFmtId="9" fontId="19" fillId="0" borderId="7" xfId="0" applyNumberFormat="1" applyFont="1" applyBorder="1" applyAlignment="1">
      <alignment horizontal="center" vertical="center" wrapText="1" readingOrder="1"/>
    </xf>
    <xf numFmtId="9" fontId="16" fillId="0" borderId="6" xfId="0" applyNumberFormat="1" applyFont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left" vertical="center" wrapText="1" readingOrder="1"/>
    </xf>
    <xf numFmtId="3" fontId="16" fillId="0" borderId="8" xfId="0" applyNumberFormat="1" applyFont="1" applyBorder="1" applyAlignment="1">
      <alignment horizontal="center" vertical="center" wrapText="1" readingOrder="1"/>
    </xf>
    <xf numFmtId="3" fontId="16" fillId="0" borderId="9" xfId="0" applyNumberFormat="1" applyFont="1" applyBorder="1" applyAlignment="1">
      <alignment horizontal="center" vertical="center" wrapText="1" readingOrder="1"/>
    </xf>
    <xf numFmtId="3" fontId="16" fillId="0" borderId="10" xfId="0" applyNumberFormat="1" applyFont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left" vertical="center" wrapText="1" readingOrder="1"/>
    </xf>
    <xf numFmtId="0" fontId="17" fillId="2" borderId="5" xfId="0" applyFont="1" applyFill="1" applyBorder="1" applyAlignment="1">
      <alignment horizontal="left" vertical="center" wrapText="1" readingOrder="1"/>
    </xf>
    <xf numFmtId="3" fontId="12" fillId="2" borderId="6" xfId="0" applyNumberFormat="1" applyFont="1" applyFill="1" applyBorder="1" applyAlignment="1">
      <alignment horizontal="center" vertical="center" wrapText="1" readingOrder="1"/>
    </xf>
    <xf numFmtId="3" fontId="12" fillId="2" borderId="7" xfId="0" applyNumberFormat="1" applyFont="1" applyFill="1" applyBorder="1" applyAlignment="1">
      <alignment horizontal="center" vertical="center" wrapText="1" readingOrder="1"/>
    </xf>
    <xf numFmtId="164" fontId="19" fillId="0" borderId="6" xfId="0" applyNumberFormat="1" applyFont="1" applyBorder="1" applyAlignment="1">
      <alignment horizontal="center" vertical="center" wrapText="1" readingOrder="1"/>
    </xf>
    <xf numFmtId="3" fontId="13" fillId="3" borderId="3" xfId="0" applyNumberFormat="1" applyFont="1" applyFill="1" applyBorder="1" applyAlignment="1">
      <alignment horizontal="center" vertical="center" wrapText="1" readingOrder="1"/>
    </xf>
    <xf numFmtId="3" fontId="13" fillId="3" borderId="6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164" fontId="16" fillId="0" borderId="5" xfId="0" applyNumberFormat="1" applyFont="1" applyBorder="1" applyAlignment="1">
      <alignment horizontal="center" vertical="center" wrapText="1" readingOrder="1"/>
    </xf>
    <xf numFmtId="164" fontId="16" fillId="0" borderId="6" xfId="0" applyNumberFormat="1" applyFont="1" applyBorder="1" applyAlignment="1">
      <alignment horizontal="center" vertical="center" wrapText="1" readingOrder="1"/>
    </xf>
    <xf numFmtId="164" fontId="16" fillId="0" borderId="7" xfId="0" applyNumberFormat="1" applyFont="1" applyBorder="1" applyAlignment="1">
      <alignment horizontal="center" vertical="center" wrapText="1" readingOrder="1"/>
    </xf>
    <xf numFmtId="164" fontId="19" fillId="0" borderId="5" xfId="0" applyNumberFormat="1" applyFont="1" applyBorder="1" applyAlignment="1">
      <alignment horizontal="center" vertical="center" wrapText="1" readingOrder="1"/>
    </xf>
    <xf numFmtId="164" fontId="19" fillId="0" borderId="7" xfId="0" applyNumberFormat="1" applyFont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left" vertical="center" wrapText="1" readingOrder="1"/>
    </xf>
    <xf numFmtId="3" fontId="13" fillId="0" borderId="15" xfId="0" applyNumberFormat="1" applyFont="1" applyBorder="1" applyAlignment="1">
      <alignment horizontal="center" vertical="center" wrapText="1" readingOrder="1"/>
    </xf>
    <xf numFmtId="3" fontId="13" fillId="0" borderId="16" xfId="0" applyNumberFormat="1" applyFont="1" applyBorder="1" applyAlignment="1">
      <alignment horizontal="center" vertical="center" wrapText="1" readingOrder="1"/>
    </xf>
    <xf numFmtId="3" fontId="13" fillId="3" borderId="5" xfId="0" applyNumberFormat="1" applyFont="1" applyFill="1" applyBorder="1" applyAlignment="1">
      <alignment horizontal="center" vertical="center" wrapText="1" readingOrder="1"/>
    </xf>
    <xf numFmtId="0" fontId="13" fillId="3" borderId="7" xfId="0" applyFont="1" applyFill="1" applyBorder="1" applyAlignment="1">
      <alignment horizontal="center" vertical="center" wrapText="1" readingOrder="1"/>
    </xf>
    <xf numFmtId="3" fontId="13" fillId="3" borderId="7" xfId="0" applyNumberFormat="1" applyFont="1" applyFill="1" applyBorder="1" applyAlignment="1">
      <alignment horizontal="center" vertical="center" wrapText="1" readingOrder="1"/>
    </xf>
    <xf numFmtId="3" fontId="13" fillId="3" borderId="2" xfId="0" applyNumberFormat="1" applyFont="1" applyFill="1" applyBorder="1" applyAlignment="1">
      <alignment horizontal="center" vertical="center" wrapText="1" readingOrder="1"/>
    </xf>
    <xf numFmtId="3" fontId="13" fillId="3" borderId="4" xfId="0" applyNumberFormat="1" applyFont="1" applyFill="1" applyBorder="1" applyAlignment="1">
      <alignment horizontal="center" vertical="center" wrapText="1" readingOrder="1"/>
    </xf>
    <xf numFmtId="0" fontId="13" fillId="3" borderId="6" xfId="0" applyFont="1" applyFill="1" applyBorder="1" applyAlignment="1">
      <alignment horizontal="center" vertical="center" wrapText="1" readingOrder="1"/>
    </xf>
    <xf numFmtId="0" fontId="16" fillId="3" borderId="5" xfId="0" applyFont="1" applyFill="1" applyBorder="1" applyAlignment="1">
      <alignment horizontal="left" vertical="center" wrapText="1" readingOrder="1"/>
    </xf>
    <xf numFmtId="3" fontId="16" fillId="3" borderId="6" xfId="0" applyNumberFormat="1" applyFont="1" applyFill="1" applyBorder="1" applyAlignment="1">
      <alignment horizontal="center" vertical="center" wrapText="1" readingOrder="1"/>
    </xf>
    <xf numFmtId="3" fontId="16" fillId="3" borderId="5" xfId="0" applyNumberFormat="1" applyFont="1" applyFill="1" applyBorder="1" applyAlignment="1">
      <alignment horizontal="center" vertical="center" wrapText="1" readingOrder="1"/>
    </xf>
    <xf numFmtId="3" fontId="19" fillId="3" borderId="6" xfId="0" applyNumberFormat="1" applyFont="1" applyFill="1" applyBorder="1" applyAlignment="1">
      <alignment horizontal="center" vertical="center" wrapText="1" readingOrder="1"/>
    </xf>
    <xf numFmtId="3" fontId="19" fillId="3" borderId="7" xfId="0" applyNumberFormat="1" applyFont="1" applyFill="1" applyBorder="1" applyAlignment="1">
      <alignment horizontal="center" vertical="center" wrapText="1" readingOrder="1"/>
    </xf>
    <xf numFmtId="2" fontId="16" fillId="3" borderId="5" xfId="0" applyNumberFormat="1" applyFont="1" applyFill="1" applyBorder="1" applyAlignment="1">
      <alignment horizontal="center" vertical="center" wrapText="1" readingOrder="1"/>
    </xf>
    <xf numFmtId="2" fontId="16" fillId="3" borderId="6" xfId="0" applyNumberFormat="1" applyFont="1" applyFill="1" applyBorder="1" applyAlignment="1">
      <alignment horizontal="center" vertical="center" wrapText="1" readingOrder="1"/>
    </xf>
    <xf numFmtId="2" fontId="16" fillId="3" borderId="7" xfId="0" applyNumberFormat="1" applyFont="1" applyFill="1" applyBorder="1" applyAlignment="1">
      <alignment horizontal="center" vertical="center" wrapText="1" readingOrder="1"/>
    </xf>
    <xf numFmtId="164" fontId="16" fillId="3" borderId="7" xfId="0" applyNumberFormat="1" applyFont="1" applyFill="1" applyBorder="1" applyAlignment="1">
      <alignment horizontal="center" vertical="center" wrapText="1" readingOrder="1"/>
    </xf>
    <xf numFmtId="164" fontId="19" fillId="3" borderId="7" xfId="0" applyNumberFormat="1" applyFont="1" applyFill="1" applyBorder="1" applyAlignment="1">
      <alignment horizontal="center" vertical="center" wrapText="1" readingOrder="1"/>
    </xf>
    <xf numFmtId="3" fontId="19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0" fillId="3" borderId="0" xfId="0" applyFont="1" applyFill="1" applyBorder="1" applyAlignment="1">
      <alignment horizontal="left" vertical="center" wrapText="1" readingOrder="1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6" fillId="3" borderId="1" xfId="0" applyFont="1" applyFill="1" applyBorder="1" applyAlignment="1">
      <alignment horizontal="left" vertical="center" wrapText="1" readingOrder="1"/>
    </xf>
    <xf numFmtId="0" fontId="22" fillId="3" borderId="0" xfId="0" applyFont="1" applyFill="1"/>
    <xf numFmtId="164" fontId="0" fillId="3" borderId="0" xfId="39" applyNumberFormat="1" applyFont="1" applyFill="1"/>
    <xf numFmtId="3" fontId="16" fillId="3" borderId="3" xfId="0" applyNumberFormat="1" applyFont="1" applyFill="1" applyBorder="1" applyAlignment="1">
      <alignment horizontal="center" vertical="center" wrapText="1" readingOrder="1"/>
    </xf>
    <xf numFmtId="3" fontId="16" fillId="3" borderId="2" xfId="0" applyNumberFormat="1" applyFont="1" applyFill="1" applyBorder="1" applyAlignment="1">
      <alignment horizontal="center" vertical="center" wrapText="1" readingOrder="1"/>
    </xf>
    <xf numFmtId="3" fontId="19" fillId="3" borderId="3" xfId="0" applyNumberFormat="1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center" vertical="center" wrapText="1" readingOrder="1"/>
    </xf>
    <xf numFmtId="0" fontId="16" fillId="3" borderId="6" xfId="0" applyFont="1" applyFill="1" applyBorder="1" applyAlignment="1">
      <alignment horizontal="center" vertical="center" wrapText="1" readingOrder="1"/>
    </xf>
    <xf numFmtId="0" fontId="16" fillId="3" borderId="5" xfId="0" applyFont="1" applyFill="1" applyBorder="1" applyAlignment="1">
      <alignment horizontal="center" vertical="center" wrapText="1" readingOrder="1"/>
    </xf>
    <xf numFmtId="0" fontId="19" fillId="3" borderId="6" xfId="0" applyFont="1" applyFill="1" applyBorder="1" applyAlignment="1">
      <alignment horizontal="center" vertical="center" wrapText="1" readingOrder="1"/>
    </xf>
    <xf numFmtId="0" fontId="19" fillId="3" borderId="7" xfId="0" applyFont="1" applyFill="1" applyBorder="1" applyAlignment="1">
      <alignment horizontal="center" vertical="center" wrapText="1" readingOrder="1"/>
    </xf>
    <xf numFmtId="0" fontId="16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3" fillId="4" borderId="0" xfId="0" applyFont="1" applyFill="1" applyBorder="1" applyAlignment="1">
      <alignment horizontal="left" vertical="center" wrapText="1" readingOrder="1"/>
    </xf>
    <xf numFmtId="0" fontId="24" fillId="4" borderId="0" xfId="0" applyFont="1" applyFill="1"/>
    <xf numFmtId="0" fontId="23" fillId="4" borderId="0" xfId="0" applyFont="1" applyFill="1" applyBorder="1" applyAlignment="1">
      <alignment horizontal="left" vertical="center" readingOrder="1"/>
    </xf>
    <xf numFmtId="0" fontId="24" fillId="3" borderId="0" xfId="0" applyFont="1" applyFill="1"/>
    <xf numFmtId="0" fontId="29" fillId="4" borderId="0" xfId="0" applyFont="1" applyFill="1"/>
    <xf numFmtId="0" fontId="30" fillId="4" borderId="0" xfId="0" applyFont="1" applyFill="1"/>
    <xf numFmtId="0" fontId="0" fillId="4" borderId="20" xfId="0" applyFill="1" applyBorder="1"/>
    <xf numFmtId="0" fontId="24" fillId="4" borderId="0" xfId="0" quotePrefix="1" applyFont="1" applyFill="1"/>
    <xf numFmtId="0" fontId="31" fillId="4" borderId="0" xfId="40" applyFont="1" applyFill="1"/>
    <xf numFmtId="0" fontId="16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24" fillId="4" borderId="0" xfId="0" applyFont="1" applyFill="1" applyAlignment="1">
      <alignment vertical="center" readingOrder="1"/>
    </xf>
    <xf numFmtId="49" fontId="28" fillId="4" borderId="0" xfId="0" quotePrefix="1" applyNumberFormat="1" applyFont="1" applyFill="1" applyAlignment="1">
      <alignment horizontal="left"/>
    </xf>
    <xf numFmtId="0" fontId="33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6" fillId="3" borderId="15" xfId="0" applyFont="1" applyFill="1" applyBorder="1" applyAlignment="1">
      <alignment horizontal="left" vertical="center" readingOrder="1"/>
    </xf>
    <xf numFmtId="0" fontId="16" fillId="3" borderId="2" xfId="0" applyFont="1" applyFill="1" applyBorder="1" applyAlignment="1">
      <alignment horizontal="left" vertical="center" readingOrder="1"/>
    </xf>
    <xf numFmtId="0" fontId="16" fillId="0" borderId="2" xfId="0" applyFont="1" applyBorder="1" applyAlignment="1">
      <alignment horizontal="left" vertical="center" readingOrder="1"/>
    </xf>
    <xf numFmtId="3" fontId="13" fillId="3" borderId="15" xfId="0" applyNumberFormat="1" applyFont="1" applyFill="1" applyBorder="1" applyAlignment="1">
      <alignment horizontal="center" vertical="center" readingOrder="1"/>
    </xf>
    <xf numFmtId="3" fontId="13" fillId="3" borderId="17" xfId="0" applyNumberFormat="1" applyFont="1" applyFill="1" applyBorder="1" applyAlignment="1">
      <alignment horizontal="center" vertical="center" readingOrder="1"/>
    </xf>
    <xf numFmtId="3" fontId="13" fillId="3" borderId="18" xfId="0" applyNumberFormat="1" applyFont="1" applyFill="1" applyBorder="1" applyAlignment="1">
      <alignment horizontal="center" vertical="center" readingOrder="1"/>
    </xf>
    <xf numFmtId="3" fontId="13" fillId="3" borderId="19" xfId="0" applyNumberFormat="1" applyFont="1" applyFill="1" applyBorder="1" applyAlignment="1">
      <alignment horizontal="center" vertical="center" readingOrder="1"/>
    </xf>
    <xf numFmtId="3" fontId="13" fillId="3" borderId="5" xfId="0" applyNumberFormat="1" applyFont="1" applyFill="1" applyBorder="1" applyAlignment="1">
      <alignment horizontal="center" vertical="center" readingOrder="1"/>
    </xf>
    <xf numFmtId="3" fontId="13" fillId="3" borderId="6" xfId="0" applyNumberFormat="1" applyFont="1" applyFill="1" applyBorder="1" applyAlignment="1">
      <alignment horizontal="center" vertical="center" readingOrder="1"/>
    </xf>
    <xf numFmtId="3" fontId="13" fillId="3" borderId="13" xfId="0" applyNumberFormat="1" applyFont="1" applyFill="1" applyBorder="1" applyAlignment="1">
      <alignment horizontal="center" vertical="center" readingOrder="1"/>
    </xf>
    <xf numFmtId="3" fontId="13" fillId="3" borderId="14" xfId="0" applyNumberFormat="1" applyFont="1" applyFill="1" applyBorder="1" applyAlignment="1">
      <alignment horizontal="center" vertical="center" readingOrder="1"/>
    </xf>
    <xf numFmtId="0" fontId="13" fillId="3" borderId="1" xfId="0" applyFont="1" applyFill="1" applyBorder="1" applyAlignment="1">
      <alignment horizontal="center" vertical="center" readingOrder="1"/>
    </xf>
    <xf numFmtId="3" fontId="13" fillId="3" borderId="2" xfId="0" applyNumberFormat="1" applyFont="1" applyFill="1" applyBorder="1" applyAlignment="1">
      <alignment horizontal="center" vertical="center" readingOrder="1"/>
    </xf>
    <xf numFmtId="3" fontId="13" fillId="3" borderId="3" xfId="0" applyNumberFormat="1" applyFont="1" applyFill="1" applyBorder="1" applyAlignment="1">
      <alignment horizontal="center" vertical="center" readingOrder="1"/>
    </xf>
    <xf numFmtId="3" fontId="13" fillId="3" borderId="11" xfId="0" applyNumberFormat="1" applyFont="1" applyFill="1" applyBorder="1" applyAlignment="1">
      <alignment horizontal="center" vertical="center" readingOrder="1"/>
    </xf>
    <xf numFmtId="3" fontId="13" fillId="3" borderId="12" xfId="0" applyNumberFormat="1" applyFont="1" applyFill="1" applyBorder="1" applyAlignment="1">
      <alignment horizontal="center" vertical="center" readingOrder="1"/>
    </xf>
    <xf numFmtId="0" fontId="13" fillId="3" borderId="5" xfId="0" applyFont="1" applyFill="1" applyBorder="1" applyAlignment="1">
      <alignment horizontal="center" vertical="center" readingOrder="1"/>
    </xf>
    <xf numFmtId="0" fontId="13" fillId="3" borderId="6" xfId="0" applyFont="1" applyFill="1" applyBorder="1" applyAlignment="1">
      <alignment horizontal="center" vertical="center" readingOrder="1"/>
    </xf>
    <xf numFmtId="0" fontId="13" fillId="3" borderId="13" xfId="0" applyFont="1" applyFill="1" applyBorder="1" applyAlignment="1">
      <alignment horizontal="center" vertical="center" readingOrder="1"/>
    </xf>
    <xf numFmtId="0" fontId="13" fillId="3" borderId="14" xfId="0" applyFont="1" applyFill="1" applyBorder="1" applyAlignment="1">
      <alignment horizontal="center" vertical="center" readingOrder="1"/>
    </xf>
    <xf numFmtId="3" fontId="13" fillId="0" borderId="2" xfId="0" applyNumberFormat="1" applyFont="1" applyBorder="1" applyAlignment="1">
      <alignment horizontal="center" vertical="center" readingOrder="1"/>
    </xf>
    <xf numFmtId="3" fontId="13" fillId="0" borderId="3" xfId="0" applyNumberFormat="1" applyFont="1" applyBorder="1" applyAlignment="1">
      <alignment horizontal="center" vertical="center" readingOrder="1"/>
    </xf>
    <xf numFmtId="3" fontId="13" fillId="0" borderId="11" xfId="0" applyNumberFormat="1" applyFont="1" applyBorder="1" applyAlignment="1">
      <alignment horizontal="center" vertical="center" readingOrder="1"/>
    </xf>
    <xf numFmtId="3" fontId="13" fillId="0" borderId="12" xfId="0" applyNumberFormat="1" applyFont="1" applyBorder="1" applyAlignment="1">
      <alignment horizontal="center" vertical="center" readingOrder="1"/>
    </xf>
    <xf numFmtId="0" fontId="34" fillId="3" borderId="0" xfId="0" applyFont="1" applyFill="1"/>
    <xf numFmtId="0" fontId="23" fillId="4" borderId="0" xfId="0" applyFont="1" applyFill="1" applyAlignment="1">
      <alignment vertical="center" readingOrder="1"/>
    </xf>
    <xf numFmtId="0" fontId="35" fillId="2" borderId="0" xfId="40" applyFont="1" applyFill="1" applyBorder="1" applyAlignment="1">
      <alignment horizontal="left" vertical="center" wrapText="1" readingOrder="1"/>
    </xf>
    <xf numFmtId="0" fontId="36" fillId="2" borderId="0" xfId="40" applyFont="1" applyFill="1" applyBorder="1" applyAlignment="1">
      <alignment horizontal="left" vertical="center" readingOrder="1"/>
    </xf>
    <xf numFmtId="0" fontId="37" fillId="3" borderId="0" xfId="0" applyFont="1" applyFill="1"/>
    <xf numFmtId="3" fontId="17" fillId="2" borderId="6" xfId="0" applyNumberFormat="1" applyFont="1" applyFill="1" applyBorder="1" applyAlignment="1">
      <alignment horizontal="center" vertical="center" wrapText="1" readingOrder="1"/>
    </xf>
    <xf numFmtId="3" fontId="17" fillId="2" borderId="5" xfId="0" applyNumberFormat="1" applyFont="1" applyFill="1" applyBorder="1" applyAlignment="1">
      <alignment horizontal="center" vertical="center" wrapText="1" readingOrder="1"/>
    </xf>
    <xf numFmtId="3" fontId="18" fillId="2" borderId="6" xfId="0" applyNumberFormat="1" applyFont="1" applyFill="1" applyBorder="1" applyAlignment="1">
      <alignment horizontal="center" vertical="center" wrapText="1" readingOrder="1"/>
    </xf>
    <xf numFmtId="3" fontId="18" fillId="2" borderId="7" xfId="0" applyNumberFormat="1" applyFont="1" applyFill="1" applyBorder="1" applyAlignment="1">
      <alignment horizontal="center" vertical="center" wrapText="1" readingOrder="1"/>
    </xf>
    <xf numFmtId="3" fontId="12" fillId="2" borderId="5" xfId="0" applyNumberFormat="1" applyFont="1" applyFill="1" applyBorder="1" applyAlignment="1">
      <alignment horizontal="center" vertical="center" readingOrder="1"/>
    </xf>
    <xf numFmtId="3" fontId="12" fillId="2" borderId="6" xfId="0" applyNumberFormat="1" applyFont="1" applyFill="1" applyBorder="1" applyAlignment="1">
      <alignment horizontal="center" vertical="center" readingOrder="1"/>
    </xf>
    <xf numFmtId="3" fontId="12" fillId="2" borderId="14" xfId="0" applyNumberFormat="1" applyFont="1" applyFill="1" applyBorder="1" applyAlignment="1">
      <alignment horizontal="center" vertical="center" readingOrder="1"/>
    </xf>
    <xf numFmtId="0" fontId="17" fillId="2" borderId="5" xfId="0" applyFont="1" applyFill="1" applyBorder="1" applyAlignment="1">
      <alignment horizontal="left" vertical="center" readingOrder="1"/>
    </xf>
    <xf numFmtId="3" fontId="12" fillId="2" borderId="13" xfId="0" applyNumberFormat="1" applyFont="1" applyFill="1" applyBorder="1" applyAlignment="1">
      <alignment horizontal="center" vertical="center" readingOrder="1"/>
    </xf>
    <xf numFmtId="3" fontId="13" fillId="3" borderId="22" xfId="0" applyNumberFormat="1" applyFont="1" applyFill="1" applyBorder="1" applyAlignment="1">
      <alignment horizontal="center" vertical="center" readingOrder="1"/>
    </xf>
    <xf numFmtId="3" fontId="13" fillId="3" borderId="23" xfId="0" applyNumberFormat="1" applyFont="1" applyFill="1" applyBorder="1" applyAlignment="1">
      <alignment horizontal="center" vertical="center" readingOrder="1"/>
    </xf>
    <xf numFmtId="0" fontId="13" fillId="3" borderId="23" xfId="0" applyFont="1" applyFill="1" applyBorder="1" applyAlignment="1">
      <alignment horizontal="center" vertical="center" readingOrder="1"/>
    </xf>
    <xf numFmtId="3" fontId="12" fillId="2" borderId="23" xfId="0" applyNumberFormat="1" applyFont="1" applyFill="1" applyBorder="1" applyAlignment="1">
      <alignment horizontal="center" vertical="center" readingOrder="1"/>
    </xf>
    <xf numFmtId="3" fontId="13" fillId="0" borderId="22" xfId="0" applyNumberFormat="1" applyFont="1" applyBorder="1" applyAlignment="1">
      <alignment horizontal="center" vertical="center" readingOrder="1"/>
    </xf>
    <xf numFmtId="0" fontId="32" fillId="3" borderId="0" xfId="0" applyFont="1" applyFill="1" applyBorder="1" applyAlignment="1">
      <alignment horizontal="left" vertical="center" readingOrder="1"/>
    </xf>
    <xf numFmtId="0" fontId="38" fillId="3" borderId="21" xfId="0" applyFont="1" applyFill="1" applyBorder="1" applyAlignment="1">
      <alignment horizontal="left" vertical="center" readingOrder="1"/>
    </xf>
    <xf numFmtId="164" fontId="19" fillId="3" borderId="5" xfId="0" applyNumberFormat="1" applyFont="1" applyFill="1" applyBorder="1" applyAlignment="1">
      <alignment horizontal="center" vertical="center" wrapText="1" readingOrder="1"/>
    </xf>
    <xf numFmtId="164" fontId="19" fillId="3" borderId="6" xfId="0" applyNumberFormat="1" applyFont="1" applyFill="1" applyBorder="1" applyAlignment="1">
      <alignment horizontal="center" vertical="center" wrapText="1" readingOrder="1"/>
    </xf>
    <xf numFmtId="9" fontId="19" fillId="3" borderId="7" xfId="0" applyNumberFormat="1" applyFont="1" applyFill="1" applyBorder="1" applyAlignment="1">
      <alignment horizontal="center" vertical="center" wrapText="1" readingOrder="1"/>
    </xf>
    <xf numFmtId="0" fontId="35" fillId="3" borderId="0" xfId="40" applyFont="1" applyFill="1"/>
    <xf numFmtId="0" fontId="35" fillId="3" borderId="0" xfId="40" applyFont="1" applyFill="1" applyBorder="1" applyAlignment="1">
      <alignment horizontal="left" vertical="center" readingOrder="1"/>
    </xf>
    <xf numFmtId="0" fontId="33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0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25" fillId="4" borderId="0" xfId="0" applyFont="1" applyFill="1" applyBorder="1" applyAlignment="1">
      <alignment horizontal="left" vertical="center" wrapText="1" readingOrder="1"/>
    </xf>
    <xf numFmtId="49" fontId="25" fillId="4" borderId="0" xfId="0" applyNumberFormat="1" applyFont="1" applyFill="1" applyBorder="1" applyAlignment="1">
      <alignment horizontal="center" vertical="center" wrapText="1" readingOrder="1"/>
    </xf>
    <xf numFmtId="3" fontId="12" fillId="2" borderId="5" xfId="0" applyNumberFormat="1" applyFont="1" applyFill="1" applyBorder="1" applyAlignment="1">
      <alignment horizontal="center" vertical="center" wrapText="1" readingOrder="1"/>
    </xf>
    <xf numFmtId="3" fontId="13" fillId="3" borderId="24" xfId="0" applyNumberFormat="1" applyFont="1" applyFill="1" applyBorder="1" applyAlignment="1">
      <alignment horizontal="center" vertical="center" readingOrder="1"/>
    </xf>
    <xf numFmtId="0" fontId="25" fillId="4" borderId="0" xfId="0" applyFont="1" applyFill="1" applyBorder="1" applyAlignment="1">
      <alignment horizontal="center" vertical="center" wrapText="1" readingOrder="1"/>
    </xf>
    <xf numFmtId="0" fontId="16" fillId="3" borderId="15" xfId="0" applyFont="1" applyFill="1" applyBorder="1" applyAlignment="1">
      <alignment horizontal="left" vertical="center" wrapText="1" readingOrder="1"/>
    </xf>
    <xf numFmtId="3" fontId="16" fillId="3" borderId="17" xfId="0" applyNumberFormat="1" applyFont="1" applyFill="1" applyBorder="1" applyAlignment="1">
      <alignment horizontal="center" vertical="center" wrapText="1" readingOrder="1"/>
    </xf>
    <xf numFmtId="3" fontId="16" fillId="3" borderId="15" xfId="0" applyNumberFormat="1" applyFont="1" applyFill="1" applyBorder="1" applyAlignment="1">
      <alignment horizontal="center" vertical="center" wrapText="1" readingOrder="1"/>
    </xf>
    <xf numFmtId="3" fontId="19" fillId="3" borderId="17" xfId="0" applyNumberFormat="1" applyFont="1" applyFill="1" applyBorder="1" applyAlignment="1">
      <alignment horizontal="center" vertical="center" wrapText="1" readingOrder="1"/>
    </xf>
    <xf numFmtId="3" fontId="19" fillId="3" borderId="16" xfId="0" applyNumberFormat="1" applyFont="1" applyFill="1" applyBorder="1" applyAlignment="1">
      <alignment horizontal="center" vertical="center" wrapText="1" readingOrder="1"/>
    </xf>
    <xf numFmtId="14" fontId="25" fillId="4" borderId="0" xfId="0" quotePrefix="1" applyNumberFormat="1" applyFont="1" applyFill="1" applyBorder="1" applyAlignment="1">
      <alignment horizontal="center" vertical="center" wrapText="1" readingOrder="1"/>
    </xf>
    <xf numFmtId="14" fontId="25" fillId="4" borderId="0" xfId="0" applyNumberFormat="1" applyFont="1" applyFill="1" applyBorder="1" applyAlignment="1">
      <alignment horizontal="center" vertical="center" wrapText="1" readingOrder="1"/>
    </xf>
    <xf numFmtId="3" fontId="13" fillId="3" borderId="17" xfId="0" applyNumberFormat="1" applyFont="1" applyFill="1" applyBorder="1" applyAlignment="1">
      <alignment horizontal="center" vertical="center" wrapText="1" readingOrder="1"/>
    </xf>
    <xf numFmtId="3" fontId="16" fillId="0" borderId="15" xfId="0" applyNumberFormat="1" applyFont="1" applyBorder="1" applyAlignment="1">
      <alignment horizontal="center" vertical="center" wrapText="1" readingOrder="1"/>
    </xf>
    <xf numFmtId="3" fontId="16" fillId="0" borderId="17" xfId="0" applyNumberFormat="1" applyFont="1" applyBorder="1" applyAlignment="1">
      <alignment horizontal="center" vertical="center" wrapText="1" readingOrder="1"/>
    </xf>
    <xf numFmtId="3" fontId="16" fillId="0" borderId="16" xfId="0" applyNumberFormat="1" applyFont="1" applyBorder="1" applyAlignment="1">
      <alignment horizontal="center" vertical="center" wrapText="1" readingOrder="1"/>
    </xf>
    <xf numFmtId="3" fontId="19" fillId="0" borderId="15" xfId="0" applyNumberFormat="1" applyFont="1" applyBorder="1" applyAlignment="1">
      <alignment horizontal="center" vertical="center" wrapText="1" readingOrder="1"/>
    </xf>
    <xf numFmtId="3" fontId="19" fillId="0" borderId="17" xfId="0" applyNumberFormat="1" applyFont="1" applyBorder="1" applyAlignment="1">
      <alignment horizontal="center" vertical="center" wrapText="1" readingOrder="1"/>
    </xf>
    <xf numFmtId="3" fontId="19" fillId="0" borderId="16" xfId="0" applyNumberFormat="1" applyFont="1" applyBorder="1" applyAlignment="1">
      <alignment horizontal="center" vertical="center" wrapText="1" readingOrder="1"/>
    </xf>
    <xf numFmtId="0" fontId="27" fillId="4" borderId="0" xfId="0" applyFont="1" applyFill="1" applyBorder="1" applyAlignment="1">
      <alignment horizontal="center" vertical="center" wrapText="1" readingOrder="1"/>
    </xf>
    <xf numFmtId="0" fontId="24" fillId="4" borderId="0" xfId="0" applyFont="1" applyFill="1" applyAlignment="1"/>
    <xf numFmtId="0" fontId="27" fillId="4" borderId="0" xfId="0" applyFont="1" applyFill="1" applyBorder="1" applyAlignment="1">
      <alignment horizontal="center" readingOrder="1"/>
    </xf>
    <xf numFmtId="0" fontId="39" fillId="4" borderId="0" xfId="0" applyFont="1" applyFill="1"/>
    <xf numFmtId="0" fontId="26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2" fillId="3" borderId="0" xfId="0" applyFont="1" applyFill="1" applyAlignment="1">
      <alignment vertical="top"/>
    </xf>
    <xf numFmtId="0" fontId="22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0" fillId="3" borderId="0" xfId="0" applyFont="1" applyFill="1"/>
    <xf numFmtId="0" fontId="24" fillId="3" borderId="0" xfId="0" quotePrefix="1" applyFont="1" applyFill="1"/>
    <xf numFmtId="0" fontId="31" fillId="3" borderId="0" xfId="40" applyFont="1" applyFill="1"/>
    <xf numFmtId="0" fontId="10" fillId="3" borderId="1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vertical="center" readingOrder="1"/>
    </xf>
    <xf numFmtId="3" fontId="19" fillId="3" borderId="28" xfId="0" applyNumberFormat="1" applyFont="1" applyFill="1" applyBorder="1" applyAlignment="1">
      <alignment horizontal="center" vertical="center" wrapText="1" readingOrder="1"/>
    </xf>
    <xf numFmtId="3" fontId="19" fillId="3" borderId="29" xfId="0" applyNumberFormat="1" applyFont="1" applyFill="1" applyBorder="1" applyAlignment="1">
      <alignment horizontal="center" vertical="center" wrapText="1" readingOrder="1"/>
    </xf>
    <xf numFmtId="3" fontId="18" fillId="2" borderId="29" xfId="0" applyNumberFormat="1" applyFont="1" applyFill="1" applyBorder="1" applyAlignment="1">
      <alignment horizontal="center" vertical="center" wrapText="1" readingOrder="1"/>
    </xf>
    <xf numFmtId="3" fontId="19" fillId="3" borderId="30" xfId="0" applyNumberFormat="1" applyFont="1" applyFill="1" applyBorder="1" applyAlignment="1">
      <alignment horizontal="center" vertical="center" wrapText="1" readingOrder="1"/>
    </xf>
    <xf numFmtId="0" fontId="19" fillId="3" borderId="29" xfId="0" applyFont="1" applyFill="1" applyBorder="1" applyAlignment="1">
      <alignment horizontal="center" vertical="center" wrapText="1" readingOrder="1"/>
    </xf>
    <xf numFmtId="3" fontId="19" fillId="0" borderId="26" xfId="0" applyNumberFormat="1" applyFont="1" applyBorder="1" applyAlignment="1">
      <alignment horizontal="center" vertical="center" wrapText="1" readingOrder="1"/>
    </xf>
    <xf numFmtId="164" fontId="19" fillId="0" borderId="27" xfId="0" applyNumberFormat="1" applyFont="1" applyBorder="1" applyAlignment="1">
      <alignment horizontal="center" vertical="center" wrapText="1" readingOrder="1"/>
    </xf>
    <xf numFmtId="164" fontId="19" fillId="3" borderId="27" xfId="0" applyNumberFormat="1" applyFont="1" applyFill="1" applyBorder="1" applyAlignment="1">
      <alignment horizontal="center" vertical="center" wrapText="1" readingOrder="1"/>
    </xf>
    <xf numFmtId="3" fontId="19" fillId="0" borderId="27" xfId="0" applyNumberFormat="1" applyFont="1" applyBorder="1" applyAlignment="1">
      <alignment horizontal="center" vertical="center" wrapText="1" readingOrder="1"/>
    </xf>
    <xf numFmtId="9" fontId="19" fillId="0" borderId="27" xfId="0" applyNumberFormat="1" applyFont="1" applyBorder="1" applyAlignment="1">
      <alignment horizontal="center" vertical="center" wrapText="1" readingOrder="1"/>
    </xf>
    <xf numFmtId="3" fontId="19" fillId="0" borderId="28" xfId="0" applyNumberFormat="1" applyFont="1" applyBorder="1" applyAlignment="1">
      <alignment horizontal="center" vertical="center" wrapText="1" readingOrder="1"/>
    </xf>
    <xf numFmtId="164" fontId="19" fillId="0" borderId="29" xfId="0" applyNumberFormat="1" applyFont="1" applyBorder="1" applyAlignment="1">
      <alignment horizontal="center" vertical="center" wrapText="1" readingOrder="1"/>
    </xf>
    <xf numFmtId="3" fontId="19" fillId="0" borderId="29" xfId="0" applyNumberFormat="1" applyFont="1" applyBorder="1" applyAlignment="1">
      <alignment horizontal="center" vertical="center" wrapText="1" readingOrder="1"/>
    </xf>
    <xf numFmtId="164" fontId="19" fillId="3" borderId="29" xfId="0" applyNumberFormat="1" applyFont="1" applyFill="1" applyBorder="1" applyAlignment="1">
      <alignment horizontal="center" vertical="center" wrapText="1" readingOrder="1"/>
    </xf>
    <xf numFmtId="9" fontId="19" fillId="0" borderId="29" xfId="0" applyNumberFormat="1" applyFont="1" applyBorder="1" applyAlignment="1">
      <alignment horizontal="center" vertical="center" wrapText="1" readingOrder="1"/>
    </xf>
    <xf numFmtId="3" fontId="13" fillId="0" borderId="29" xfId="0" applyNumberFormat="1" applyFont="1" applyBorder="1" applyAlignment="1">
      <alignment horizontal="center" vertical="center" wrapText="1" readingOrder="1"/>
    </xf>
    <xf numFmtId="3" fontId="13" fillId="0" borderId="30" xfId="0" applyNumberFormat="1" applyFont="1" applyBorder="1" applyAlignment="1">
      <alignment horizontal="center" vertical="center" wrapText="1" readingOrder="1"/>
    </xf>
    <xf numFmtId="3" fontId="16" fillId="0" borderId="28" xfId="0" applyNumberFormat="1" applyFont="1" applyBorder="1" applyAlignment="1">
      <alignment horizontal="center" vertical="center" wrapText="1" readingOrder="1"/>
    </xf>
    <xf numFmtId="164" fontId="16" fillId="0" borderId="29" xfId="0" applyNumberFormat="1" applyFont="1" applyBorder="1" applyAlignment="1">
      <alignment horizontal="center" vertical="center" wrapText="1" readingOrder="1"/>
    </xf>
    <xf numFmtId="164" fontId="16" fillId="3" borderId="29" xfId="0" applyNumberFormat="1" applyFont="1" applyFill="1" applyBorder="1" applyAlignment="1">
      <alignment horizontal="center" vertical="center" wrapText="1" readingOrder="1"/>
    </xf>
    <xf numFmtId="3" fontId="16" fillId="0" borderId="29" xfId="0" applyNumberFormat="1" applyFont="1" applyBorder="1" applyAlignment="1">
      <alignment horizontal="center" vertical="center" wrapText="1" readingOrder="1"/>
    </xf>
    <xf numFmtId="0" fontId="16" fillId="0" borderId="29" xfId="0" applyFont="1" applyBorder="1" applyAlignment="1">
      <alignment horizontal="center" vertical="center" wrapText="1" readingOrder="1"/>
    </xf>
    <xf numFmtId="3" fontId="16" fillId="0" borderId="31" xfId="0" applyNumberFormat="1" applyFont="1" applyBorder="1" applyAlignment="1">
      <alignment horizontal="center" vertical="center" wrapText="1" readingOrder="1"/>
    </xf>
    <xf numFmtId="2" fontId="16" fillId="3" borderId="29" xfId="0" applyNumberFormat="1" applyFont="1" applyFill="1" applyBorder="1" applyAlignment="1">
      <alignment horizontal="center" vertical="center" wrapText="1" readingOrder="1"/>
    </xf>
    <xf numFmtId="3" fontId="13" fillId="3" borderId="32" xfId="0" applyNumberFormat="1" applyFont="1" applyFill="1" applyBorder="1" applyAlignment="1">
      <alignment horizontal="center" vertical="center" readingOrder="1"/>
    </xf>
    <xf numFmtId="3" fontId="13" fillId="3" borderId="33" xfId="0" applyNumberFormat="1" applyFont="1" applyFill="1" applyBorder="1" applyAlignment="1">
      <alignment horizontal="center" vertical="center" readingOrder="1"/>
    </xf>
    <xf numFmtId="3" fontId="12" fillId="2" borderId="33" xfId="0" applyNumberFormat="1" applyFont="1" applyFill="1" applyBorder="1" applyAlignment="1">
      <alignment horizontal="center" vertical="center" readingOrder="1"/>
    </xf>
    <xf numFmtId="3" fontId="13" fillId="3" borderId="34" xfId="0" applyNumberFormat="1" applyFont="1" applyFill="1" applyBorder="1" applyAlignment="1">
      <alignment horizontal="center" vertical="center" readingOrder="1"/>
    </xf>
    <xf numFmtId="0" fontId="13" fillId="3" borderId="33" xfId="0" applyFont="1" applyFill="1" applyBorder="1" applyAlignment="1">
      <alignment horizontal="center" vertical="center" readingOrder="1"/>
    </xf>
    <xf numFmtId="3" fontId="13" fillId="0" borderId="34" xfId="0" applyNumberFormat="1" applyFont="1" applyBorder="1" applyAlignment="1">
      <alignment horizontal="center" vertical="center" readingOrder="1"/>
    </xf>
    <xf numFmtId="3" fontId="13" fillId="3" borderId="35" xfId="0" applyNumberFormat="1" applyFont="1" applyFill="1" applyBorder="1" applyAlignment="1">
      <alignment horizontal="center" vertical="center" readingOrder="1"/>
    </xf>
    <xf numFmtId="3" fontId="12" fillId="2" borderId="36" xfId="0" applyNumberFormat="1" applyFont="1" applyFill="1" applyBorder="1" applyAlignment="1">
      <alignment horizontal="center" vertical="center" readingOrder="1"/>
    </xf>
    <xf numFmtId="3" fontId="13" fillId="0" borderId="28" xfId="0" applyNumberFormat="1" applyFont="1" applyBorder="1" applyAlignment="1">
      <alignment horizontal="center" vertical="center" wrapText="1" readingOrder="1"/>
    </xf>
    <xf numFmtId="3" fontId="12" fillId="2" borderId="29" xfId="0" applyNumberFormat="1" applyFont="1" applyFill="1" applyBorder="1" applyAlignment="1">
      <alignment horizontal="center" vertical="center" wrapText="1" readingOrder="1"/>
    </xf>
    <xf numFmtId="3" fontId="13" fillId="3" borderId="29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0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 readingOrder="1"/>
    </xf>
    <xf numFmtId="3" fontId="13" fillId="3" borderId="30" xfId="0" applyNumberFormat="1" applyFont="1" applyFill="1" applyBorder="1" applyAlignment="1">
      <alignment horizontal="center" vertical="center" wrapText="1" readingOrder="1"/>
    </xf>
    <xf numFmtId="3" fontId="13" fillId="3" borderId="0" xfId="0" applyNumberFormat="1" applyFont="1" applyFill="1" applyBorder="1" applyAlignment="1">
      <alignment horizontal="center" vertical="center" wrapText="1" readingOrder="1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0" fontId="33" fillId="3" borderId="0" xfId="0" applyFont="1" applyFill="1" applyBorder="1" applyAlignment="1">
      <alignment vertical="center" wrapText="1" readingOrder="1"/>
    </xf>
    <xf numFmtId="3" fontId="13" fillId="6" borderId="14" xfId="0" applyNumberFormat="1" applyFont="1" applyFill="1" applyBorder="1" applyAlignment="1">
      <alignment horizontal="center" vertical="center" readingOrder="1"/>
    </xf>
    <xf numFmtId="3" fontId="13" fillId="6" borderId="23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3" fillId="6" borderId="2" xfId="0" applyFont="1" applyFill="1" applyBorder="1" applyAlignment="1">
      <alignment horizontal="center" vertical="center" readingOrder="1"/>
    </xf>
    <xf numFmtId="3" fontId="13" fillId="6" borderId="12" xfId="0" applyNumberFormat="1" applyFont="1" applyFill="1" applyBorder="1" applyAlignment="1">
      <alignment horizontal="center" vertical="center" readingOrder="1"/>
    </xf>
    <xf numFmtId="3" fontId="13" fillId="6" borderId="34" xfId="0" applyNumberFormat="1" applyFont="1" applyFill="1" applyBorder="1" applyAlignment="1">
      <alignment horizontal="center" vertical="center" readingOrder="1"/>
    </xf>
    <xf numFmtId="3" fontId="13" fillId="6" borderId="22" xfId="0" applyNumberFormat="1" applyFont="1" applyFill="1" applyBorder="1" applyAlignment="1">
      <alignment horizontal="center" vertical="center" readingOrder="1"/>
    </xf>
    <xf numFmtId="0" fontId="16" fillId="6" borderId="5" xfId="0" applyFont="1" applyFill="1" applyBorder="1" applyAlignment="1">
      <alignment horizontal="left" vertical="center" wrapText="1" readingOrder="1"/>
    </xf>
    <xf numFmtId="0" fontId="16" fillId="7" borderId="5" xfId="0" applyFont="1" applyFill="1" applyBorder="1" applyAlignment="1">
      <alignment horizontal="left" vertical="center" readingOrder="1"/>
    </xf>
    <xf numFmtId="0" fontId="16" fillId="7" borderId="5" xfId="0" applyFont="1" applyFill="1" applyBorder="1" applyAlignment="1">
      <alignment horizontal="left" vertical="center" wrapText="1" readingOrder="1"/>
    </xf>
    <xf numFmtId="0" fontId="13" fillId="6" borderId="6" xfId="0" applyFont="1" applyFill="1" applyBorder="1" applyAlignment="1">
      <alignment horizontal="center" vertical="center" wrapText="1" readingOrder="1"/>
    </xf>
    <xf numFmtId="0" fontId="13" fillId="6" borderId="7" xfId="0" applyFont="1" applyFill="1" applyBorder="1" applyAlignment="1">
      <alignment horizontal="center" vertical="center" wrapText="1" readingOrder="1"/>
    </xf>
    <xf numFmtId="0" fontId="16" fillId="6" borderId="2" xfId="0" applyFont="1" applyFill="1" applyBorder="1" applyAlignment="1">
      <alignment horizontal="left" vertical="center" wrapText="1" readingOrder="1"/>
    </xf>
    <xf numFmtId="0" fontId="36" fillId="3" borderId="0" xfId="40" applyFont="1" applyFill="1" applyBorder="1" applyAlignment="1">
      <alignment horizontal="left" vertical="center" readingOrder="1"/>
    </xf>
    <xf numFmtId="0" fontId="13" fillId="3" borderId="17" xfId="0" applyFont="1" applyFill="1" applyBorder="1" applyAlignment="1">
      <alignment horizontal="center" vertical="center" wrapText="1" readingOrder="1"/>
    </xf>
    <xf numFmtId="0" fontId="13" fillId="3" borderId="16" xfId="0" applyFont="1" applyFill="1" applyBorder="1" applyAlignment="1">
      <alignment horizontal="center" vertical="center" wrapText="1" readingOrder="1"/>
    </xf>
    <xf numFmtId="9" fontId="19" fillId="3" borderId="5" xfId="0" applyNumberFormat="1" applyFont="1" applyFill="1" applyBorder="1" applyAlignment="1">
      <alignment horizontal="center" vertical="center" wrapText="1" readingOrder="1"/>
    </xf>
    <xf numFmtId="0" fontId="53" fillId="0" borderId="0" xfId="54" applyFont="1" applyFill="1" applyAlignment="1"/>
    <xf numFmtId="0" fontId="40" fillId="0" borderId="0" xfId="54" applyFont="1" applyFill="1" applyAlignment="1">
      <alignment vertical="center"/>
    </xf>
    <xf numFmtId="0" fontId="1" fillId="0" borderId="0" xfId="54"/>
    <xf numFmtId="14" fontId="54" fillId="0" borderId="0" xfId="54" applyNumberFormat="1" applyFont="1" applyFill="1" applyAlignment="1"/>
    <xf numFmtId="0" fontId="40" fillId="0" borderId="0" xfId="54" applyFont="1"/>
    <xf numFmtId="0" fontId="41" fillId="5" borderId="0" xfId="54" applyFont="1" applyFill="1" applyAlignment="1">
      <alignment vertical="center"/>
    </xf>
    <xf numFmtId="0" fontId="42" fillId="5" borderId="0" xfId="54" applyFont="1" applyFill="1"/>
    <xf numFmtId="0" fontId="43" fillId="5" borderId="0" xfId="54" applyFont="1" applyFill="1"/>
    <xf numFmtId="0" fontId="43" fillId="0" borderId="0" xfId="54" applyFont="1" applyFill="1"/>
    <xf numFmtId="14" fontId="44" fillId="5" borderId="0" xfId="54" applyNumberFormat="1" applyFont="1" applyFill="1" applyAlignment="1">
      <alignment vertical="center"/>
    </xf>
    <xf numFmtId="0" fontId="43" fillId="0" borderId="0" xfId="54" applyFont="1"/>
    <xf numFmtId="0" fontId="45" fillId="0" borderId="0" xfId="54" applyFont="1" applyFill="1"/>
    <xf numFmtId="3" fontId="46" fillId="3" borderId="0" xfId="54" applyNumberFormat="1" applyFont="1" applyFill="1"/>
    <xf numFmtId="0" fontId="45" fillId="0" borderId="25" xfId="54" applyFont="1" applyFill="1" applyBorder="1"/>
    <xf numFmtId="3" fontId="46" fillId="3" borderId="25" xfId="55" applyNumberFormat="1" applyFont="1" applyFill="1" applyBorder="1"/>
    <xf numFmtId="3" fontId="46" fillId="3" borderId="25" xfId="54" applyNumberFormat="1" applyFont="1" applyFill="1" applyBorder="1"/>
    <xf numFmtId="0" fontId="45" fillId="0" borderId="0" xfId="54" applyFont="1" applyFill="1" applyAlignment="1">
      <alignment vertical="center"/>
    </xf>
    <xf numFmtId="164" fontId="46" fillId="3" borderId="0" xfId="55" applyNumberFormat="1" applyFont="1" applyFill="1" applyAlignment="1">
      <alignment horizontal="right" vertical="center"/>
    </xf>
    <xf numFmtId="164" fontId="46" fillId="3" borderId="0" xfId="55" applyNumberFormat="1" applyFont="1" applyFill="1" applyAlignment="1">
      <alignment vertical="center"/>
    </xf>
    <xf numFmtId="0" fontId="45" fillId="0" borderId="0" xfId="54" applyFont="1" applyFill="1" applyBorder="1"/>
    <xf numFmtId="164" fontId="46" fillId="0" borderId="0" xfId="55" applyNumberFormat="1" applyFont="1" applyFill="1" applyAlignment="1">
      <alignment horizontal="right" vertical="center"/>
    </xf>
    <xf numFmtId="3" fontId="47" fillId="0" borderId="0" xfId="54" applyNumberFormat="1" applyFont="1" applyFill="1" applyAlignment="1">
      <alignment vertical="center"/>
    </xf>
    <xf numFmtId="0" fontId="40" fillId="0" borderId="0" xfId="54" applyFont="1" applyFill="1"/>
    <xf numFmtId="0" fontId="1" fillId="0" borderId="0" xfId="54" applyFill="1"/>
    <xf numFmtId="14" fontId="48" fillId="5" borderId="0" xfId="54" applyNumberFormat="1" applyFont="1" applyFill="1" applyAlignment="1">
      <alignment horizontal="right" vertical="center" wrapText="1"/>
    </xf>
    <xf numFmtId="14" fontId="44" fillId="5" borderId="0" xfId="54" applyNumberFormat="1" applyFont="1" applyFill="1" applyAlignment="1">
      <alignment horizontal="right" vertical="center" wrapText="1"/>
    </xf>
    <xf numFmtId="0" fontId="40" fillId="3" borderId="0" xfId="54" applyFont="1" applyFill="1"/>
    <xf numFmtId="3" fontId="46" fillId="0" borderId="0" xfId="54" applyNumberFormat="1" applyFont="1" applyFill="1"/>
    <xf numFmtId="0" fontId="1" fillId="3" borderId="0" xfId="54" applyFill="1"/>
    <xf numFmtId="164" fontId="46" fillId="3" borderId="0" xfId="55" applyNumberFormat="1" applyFont="1" applyFill="1"/>
    <xf numFmtId="0" fontId="49" fillId="0" borderId="0" xfId="54" applyFont="1" applyFill="1"/>
    <xf numFmtId="164" fontId="46" fillId="3" borderId="0" xfId="54" applyNumberFormat="1" applyFont="1" applyFill="1"/>
    <xf numFmtId="0" fontId="46" fillId="3" borderId="0" xfId="54" applyFont="1" applyFill="1"/>
    <xf numFmtId="0" fontId="48" fillId="5" borderId="0" xfId="54" applyFont="1" applyFill="1" applyAlignment="1">
      <alignment horizontal="right" vertical="center" wrapText="1"/>
    </xf>
    <xf numFmtId="0" fontId="50" fillId="0" borderId="0" xfId="54" applyFont="1" applyFill="1" applyAlignment="1">
      <alignment vertical="center"/>
    </xf>
    <xf numFmtId="0" fontId="51" fillId="0" borderId="0" xfId="54" applyFont="1" applyFill="1" applyAlignment="1">
      <alignment vertical="center"/>
    </xf>
    <xf numFmtId="0" fontId="47" fillId="0" borderId="0" xfId="54" applyFont="1" applyFill="1" applyAlignment="1">
      <alignment horizontal="right" vertical="center" wrapText="1"/>
    </xf>
    <xf numFmtId="0" fontId="52" fillId="0" borderId="0" xfId="54" applyFont="1"/>
    <xf numFmtId="0" fontId="22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3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4" fillId="5" borderId="0" xfId="54" applyFont="1" applyFill="1" applyAlignment="1">
      <alignment horizontal="center" vertical="center"/>
    </xf>
  </cellXfs>
  <cellStyles count="5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General</c:formatCode>
                <c:ptCount val="12"/>
                <c:pt idx="0">
                  <c:v>363150</c:v>
                </c:pt>
                <c:pt idx="1">
                  <c:v>10556</c:v>
                </c:pt>
                <c:pt idx="2">
                  <c:v>112497</c:v>
                </c:pt>
                <c:pt idx="3">
                  <c:v>83011</c:v>
                </c:pt>
                <c:pt idx="4">
                  <c:v>126962</c:v>
                </c:pt>
                <c:pt idx="5">
                  <c:v>24715</c:v>
                </c:pt>
                <c:pt idx="6">
                  <c:v>54812</c:v>
                </c:pt>
                <c:pt idx="7">
                  <c:v>104585</c:v>
                </c:pt>
                <c:pt idx="8">
                  <c:v>31323</c:v>
                </c:pt>
                <c:pt idx="9">
                  <c:v>16919</c:v>
                </c:pt>
                <c:pt idx="10">
                  <c:v>8103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General</c:formatCode>
                <c:ptCount val="5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43190</c:v>
                </c:pt>
              </c:numCache>
            </c:numRef>
          </c:cat>
          <c:val>
            <c:numRef>
              <c:f>'[1]Töluleg gögn'!$E$3:$I$3</c:f>
              <c:numCache>
                <c:formatCode>General</c:formatCode>
                <c:ptCount val="5"/>
                <c:pt idx="0">
                  <c:v>0.29499999999999998</c:v>
                </c:pt>
                <c:pt idx="1">
                  <c:v>0.30399999999999999</c:v>
                </c:pt>
                <c:pt idx="2">
                  <c:v>0.30199999999999999</c:v>
                </c:pt>
                <c:pt idx="3">
                  <c:v>0.26700000000000002</c:v>
                </c:pt>
                <c:pt idx="4">
                  <c:v>0.247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630848"/>
        <c:axId val="627632384"/>
      </c:barChart>
      <c:catAx>
        <c:axId val="62763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7632384"/>
        <c:crosses val="autoZero"/>
        <c:auto val="0"/>
        <c:lblAlgn val="ctr"/>
        <c:lblOffset val="100"/>
        <c:noMultiLvlLbl val="0"/>
      </c:catAx>
      <c:valAx>
        <c:axId val="6276323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276308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66173695501177E-2"/>
                  <c:y val="0.112162791120759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General</c:formatCode>
                <c:ptCount val="4"/>
                <c:pt idx="0">
                  <c:v>622021</c:v>
                </c:pt>
                <c:pt idx="1">
                  <c:v>30943</c:v>
                </c:pt>
                <c:pt idx="2">
                  <c:v>284484</c:v>
                </c:pt>
                <c:pt idx="3">
                  <c:v>228601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General</c:formatCode>
                <c:ptCount val="4"/>
                <c:pt idx="0">
                  <c:v>0.8827141752573604</c:v>
                </c:pt>
                <c:pt idx="1">
                  <c:v>1.0029811198799303E-2</c:v>
                </c:pt>
                <c:pt idx="2">
                  <c:v>0.1059090110936964</c:v>
                </c:pt>
                <c:pt idx="3">
                  <c:v>1.3470024501439463E-3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85724</xdr:rowOff>
    </xdr:from>
    <xdr:to>
      <xdr:col>6</xdr:col>
      <xdr:colOff>71438</xdr:colOff>
      <xdr:row>17</xdr:row>
      <xdr:rowOff>333375</xdr:rowOff>
    </xdr:to>
    <xdr:sp macro="" textlink="">
      <xdr:nvSpPr>
        <xdr:cNvPr id="2" name="TextBox 1"/>
        <xdr:cNvSpPr txBox="1"/>
      </xdr:nvSpPr>
      <xdr:spPr>
        <a:xfrm>
          <a:off x="1" y="2009774"/>
          <a:ext cx="4300537" cy="25336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931.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3-2018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/>
      <sheetData sheetId="1">
        <row r="2">
          <cell r="E2">
            <v>42004</v>
          </cell>
          <cell r="F2">
            <v>42369</v>
          </cell>
          <cell r="G2">
            <v>42735</v>
          </cell>
          <cell r="H2">
            <v>43100</v>
          </cell>
          <cell r="I2">
            <v>43190</v>
          </cell>
        </row>
        <row r="3">
          <cell r="E3">
            <v>0.29499999999999998</v>
          </cell>
          <cell r="F3">
            <v>0.30399999999999999</v>
          </cell>
          <cell r="G3">
            <v>0.30199999999999999</v>
          </cell>
          <cell r="H3">
            <v>0.26700000000000002</v>
          </cell>
          <cell r="I3">
            <v>0.247</v>
          </cell>
        </row>
        <row r="7">
          <cell r="K7">
            <v>124.25</v>
          </cell>
          <cell r="M7">
            <v>121.5</v>
          </cell>
        </row>
        <row r="8">
          <cell r="M8">
            <v>123.56</v>
          </cell>
          <cell r="N8">
            <v>119.46</v>
          </cell>
        </row>
        <row r="11">
          <cell r="A11" t="str">
            <v>Innlán frá viðskiptavinum</v>
          </cell>
          <cell r="B11">
            <v>622021</v>
          </cell>
        </row>
        <row r="12">
          <cell r="A12" t="str">
            <v>Skuldir við fjármálafyrirtæki</v>
          </cell>
          <cell r="B12">
            <v>30943</v>
          </cell>
        </row>
        <row r="13">
          <cell r="A13" t="str">
            <v>Lántaka</v>
          </cell>
          <cell r="B13">
            <v>284484</v>
          </cell>
        </row>
        <row r="14">
          <cell r="A14" t="str">
            <v>Eigið fé</v>
          </cell>
          <cell r="B14">
            <v>228601</v>
          </cell>
        </row>
        <row r="20">
          <cell r="A20" t="str">
            <v>Einstaklingar</v>
          </cell>
          <cell r="B20">
            <v>363150</v>
          </cell>
        </row>
        <row r="21">
          <cell r="A21" t="str">
            <v>Opinberir aðilar</v>
          </cell>
          <cell r="B21">
            <v>10556</v>
          </cell>
        </row>
        <row r="23">
          <cell r="A23" t="str">
            <v>Sjávarútvegur</v>
          </cell>
          <cell r="B23">
            <v>112497</v>
          </cell>
        </row>
        <row r="24">
          <cell r="A24" t="str">
            <v>Byggingastarfsemi</v>
          </cell>
          <cell r="B24">
            <v>83011</v>
          </cell>
        </row>
        <row r="25">
          <cell r="A25" t="str">
            <v>Fasteignafélög</v>
          </cell>
          <cell r="B25">
            <v>126962</v>
          </cell>
        </row>
        <row r="26">
          <cell r="A26" t="str">
            <v>Eignarhaldsfélög</v>
          </cell>
          <cell r="B26">
            <v>24715</v>
          </cell>
        </row>
        <row r="27">
          <cell r="A27" t="str">
            <v>Verslun</v>
          </cell>
          <cell r="B27">
            <v>54812</v>
          </cell>
        </row>
        <row r="28">
          <cell r="A28" t="str">
            <v>Þjónusta</v>
          </cell>
          <cell r="B28">
            <v>104585</v>
          </cell>
        </row>
        <row r="29">
          <cell r="A29" t="str">
            <v>Upplýsingatækni og fjarskipti</v>
          </cell>
          <cell r="B29">
            <v>31323</v>
          </cell>
        </row>
        <row r="30">
          <cell r="A30" t="str">
            <v>Iðnaður</v>
          </cell>
          <cell r="B30">
            <v>16919</v>
          </cell>
        </row>
        <row r="31">
          <cell r="A31" t="str">
            <v>Landbúnaður</v>
          </cell>
          <cell r="B31">
            <v>8103</v>
          </cell>
        </row>
        <row r="32">
          <cell r="A32" t="str">
            <v>Annað</v>
          </cell>
          <cell r="B32">
            <v>3</v>
          </cell>
        </row>
        <row r="38">
          <cell r="A38" t="str">
            <v>Útlánaáhætta</v>
          </cell>
          <cell r="B38">
            <v>0.8827141752573604</v>
          </cell>
        </row>
        <row r="39">
          <cell r="A39" t="str">
            <v>Markaðsáhætta</v>
          </cell>
          <cell r="B39">
            <v>1.0029811198799303E-2</v>
          </cell>
        </row>
        <row r="40">
          <cell r="A40" t="str">
            <v>Rekstraráhætta</v>
          </cell>
          <cell r="B40">
            <v>0.1059090110936964</v>
          </cell>
        </row>
        <row r="41">
          <cell r="A41" t="str">
            <v>Markaðsáhætta - gjaldeyrisgengisáhætta</v>
          </cell>
          <cell r="B41">
            <v>1.3470024501439463E-3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P53"/>
  <sheetViews>
    <sheetView tabSelected="1" view="pageBreakPreview" zoomScale="60" zoomScaleNormal="80" workbookViewId="0">
      <selection activeCell="E5" sqref="E5"/>
    </sheetView>
  </sheetViews>
  <sheetFormatPr defaultRowHeight="15"/>
  <cols>
    <col min="1" max="3" width="8.6640625" style="58" customWidth="1"/>
    <col min="4" max="4" width="4.33203125" style="58" customWidth="1"/>
    <col min="5" max="5" width="5.77734375" style="58" customWidth="1"/>
    <col min="6" max="6" width="10.33203125" style="58" customWidth="1"/>
    <col min="7" max="7" width="7.44140625" style="58" customWidth="1"/>
    <col min="8" max="8" width="5.44140625" style="58" customWidth="1"/>
    <col min="9" max="10" width="7.77734375" style="58" customWidth="1"/>
    <col min="11" max="11" width="5.109375" style="58" customWidth="1"/>
    <col min="12" max="12" width="11.109375" style="58" customWidth="1"/>
    <col min="13" max="13" width="8.33203125" style="58" customWidth="1"/>
    <col min="14" max="14" width="10.6640625" style="58" customWidth="1"/>
    <col min="15" max="15" width="9.5546875" style="58" customWidth="1"/>
    <col min="16" max="16" width="14.44140625" style="58" customWidth="1"/>
    <col min="17" max="16384" width="8.88671875" style="58"/>
  </cols>
  <sheetData>
    <row r="1" spans="1:16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6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6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16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5.75" thickBot="1">
      <c r="A11" s="79"/>
      <c r="B11" s="79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79"/>
      <c r="N11" s="79"/>
      <c r="O11" s="79"/>
      <c r="P11" s="90"/>
    </row>
    <row r="12" spans="1:16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6" ht="34.5">
      <c r="A13" s="79"/>
      <c r="B13" s="79"/>
      <c r="C13" s="79"/>
      <c r="D13" s="79"/>
      <c r="E13" s="172" t="s">
        <v>85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6" ht="20.25">
      <c r="A14" s="79"/>
      <c r="B14" s="79"/>
      <c r="C14" s="79"/>
      <c r="D14" s="79"/>
      <c r="E14" s="93" t="s">
        <v>209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6" ht="15.75" thickBot="1">
      <c r="A15" s="79"/>
      <c r="B15" s="79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79"/>
      <c r="N15" s="79"/>
      <c r="O15" s="79"/>
      <c r="P15" s="90"/>
    </row>
    <row r="16" spans="1:16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6" ht="27">
      <c r="A17" s="79"/>
      <c r="B17" s="79"/>
      <c r="C17" s="79"/>
      <c r="D17" s="79"/>
      <c r="E17" s="79"/>
      <c r="F17" s="79"/>
      <c r="G17" s="79"/>
      <c r="H17" s="84"/>
      <c r="I17" s="79"/>
      <c r="J17" s="79"/>
      <c r="K17" s="79"/>
      <c r="L17" s="79"/>
      <c r="M17" s="79"/>
      <c r="N17" s="79"/>
      <c r="O17" s="79"/>
    </row>
    <row r="18" spans="1:16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1:16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6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6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1:16" ht="16.5" customHeight="1">
      <c r="A22" s="79"/>
      <c r="B22" s="79"/>
      <c r="C22" s="79"/>
      <c r="D22" s="79"/>
      <c r="E22" s="79"/>
      <c r="F22" s="79"/>
      <c r="G22" s="79"/>
      <c r="H22" s="79"/>
      <c r="I22" s="84"/>
      <c r="J22" s="84"/>
      <c r="K22" s="85"/>
      <c r="L22" s="85"/>
      <c r="M22" s="85"/>
      <c r="N22" s="85"/>
      <c r="O22" s="85"/>
      <c r="P22" s="178"/>
    </row>
    <row r="23" spans="1:16" ht="51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6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6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6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spans="1:16" ht="41.25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6" ht="6.75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6" ht="1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6" ht="1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6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ht="18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ht="18.75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79"/>
      <c r="B35" s="79"/>
      <c r="C35" s="81" t="s">
        <v>5</v>
      </c>
      <c r="D35" s="81"/>
      <c r="E35" s="81"/>
      <c r="F35" s="81" t="s">
        <v>86</v>
      </c>
      <c r="G35" s="81"/>
      <c r="H35" s="81"/>
      <c r="I35" s="87" t="s">
        <v>87</v>
      </c>
      <c r="J35" s="87"/>
      <c r="K35" s="81"/>
      <c r="L35" s="88" t="s">
        <v>88</v>
      </c>
      <c r="M35" s="79"/>
      <c r="N35" s="79"/>
      <c r="O35" s="79"/>
    </row>
    <row r="36" spans="1:15" ht="13.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ht="17.25" customHeight="1"/>
    <row r="47" spans="1:15">
      <c r="C47" s="83"/>
      <c r="D47" s="83"/>
      <c r="E47" s="83"/>
      <c r="F47" s="83"/>
      <c r="G47" s="83"/>
      <c r="H47" s="83"/>
      <c r="I47" s="179"/>
      <c r="J47" s="179"/>
      <c r="K47" s="83"/>
      <c r="L47" s="180"/>
      <c r="M47" s="180"/>
      <c r="N47" s="180"/>
      <c r="O47" s="180"/>
    </row>
    <row r="49" spans="3:16">
      <c r="C49" s="83"/>
      <c r="D49" s="83"/>
      <c r="E49" s="83"/>
      <c r="F49" s="83"/>
      <c r="G49" s="83"/>
      <c r="H49" s="83"/>
      <c r="I49" s="179"/>
      <c r="J49" s="179"/>
      <c r="K49" s="83"/>
      <c r="L49" s="180"/>
      <c r="M49" s="180"/>
      <c r="N49" s="180"/>
      <c r="O49" s="180"/>
    </row>
    <row r="52" spans="3:16" ht="18.75" customHeight="1"/>
    <row r="53" spans="3:16">
      <c r="P53" s="83"/>
    </row>
  </sheetData>
  <hyperlinks>
    <hyperlink ref="L35" r:id="rId1" display="www.landsbankinn.is"/>
  </hyperlinks>
  <pageMargins left="0" right="0" top="0" bottom="0" header="0" footer="0"/>
  <pageSetup scale="98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31"/>
  <sheetViews>
    <sheetView view="pageBreakPreview" zoomScale="90" zoomScaleNormal="80" zoomScaleSheetLayoutView="90" zoomScalePageLayoutView="165" workbookViewId="0">
      <selection activeCell="M28" sqref="M28"/>
    </sheetView>
  </sheetViews>
  <sheetFormatPr defaultColWidth="11.5546875" defaultRowHeight="15"/>
  <cols>
    <col min="1" max="1" width="31.44140625" style="58" customWidth="1"/>
    <col min="2" max="10" width="8.109375" style="58" customWidth="1"/>
    <col min="11" max="11" width="4.33203125" style="58" customWidth="1"/>
    <col min="12" max="14" width="11.5546875" style="58"/>
    <col min="15" max="15" width="17.6640625" style="58" customWidth="1"/>
    <col min="16" max="16384" width="11.5546875" style="58"/>
  </cols>
  <sheetData>
    <row r="1" spans="1:10" ht="24.75" customHeight="1">
      <c r="A1" s="82" t="s">
        <v>64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4.75" customHeight="1">
      <c r="A2" s="150" t="s">
        <v>11</v>
      </c>
      <c r="B2" s="154">
        <v>2017</v>
      </c>
      <c r="C2" s="154">
        <v>2016</v>
      </c>
      <c r="D2" s="154">
        <v>2015</v>
      </c>
      <c r="E2" s="154">
        <v>2014</v>
      </c>
      <c r="F2" s="154">
        <v>2013</v>
      </c>
      <c r="G2" s="154">
        <v>2012</v>
      </c>
      <c r="H2" s="154">
        <v>2011</v>
      </c>
      <c r="I2" s="154">
        <v>2010</v>
      </c>
      <c r="J2" s="154">
        <v>2009</v>
      </c>
    </row>
    <row r="3" spans="1:10" ht="24" customHeight="1">
      <c r="A3" s="38" t="s">
        <v>65</v>
      </c>
      <c r="B3" s="163">
        <v>19766</v>
      </c>
      <c r="C3" s="163">
        <v>16643</v>
      </c>
      <c r="D3" s="163">
        <v>36460</v>
      </c>
      <c r="E3" s="164">
        <v>29737</v>
      </c>
      <c r="F3" s="165">
        <v>28759</v>
      </c>
      <c r="G3" s="165">
        <v>25494</v>
      </c>
      <c r="H3" s="165">
        <v>16957</v>
      </c>
      <c r="I3" s="165">
        <v>27213</v>
      </c>
      <c r="J3" s="200">
        <v>14332</v>
      </c>
    </row>
    <row r="4" spans="1:10" ht="24" customHeight="1">
      <c r="A4" s="5" t="s">
        <v>66</v>
      </c>
      <c r="B4" s="33">
        <v>0.123</v>
      </c>
      <c r="C4" s="33">
        <v>9.9000000000000005E-2</v>
      </c>
      <c r="D4" s="33">
        <v>0.19900000000000001</v>
      </c>
      <c r="E4" s="34">
        <v>0.16700000000000001</v>
      </c>
      <c r="F4" s="35">
        <v>0.17599999999999999</v>
      </c>
      <c r="G4" s="35">
        <v>0.14000000000000001</v>
      </c>
      <c r="H4" s="35">
        <v>8.1000000000000003E-2</v>
      </c>
      <c r="I4" s="35">
        <v>0.20799999999999999</v>
      </c>
      <c r="J4" s="201">
        <v>9.9000000000000005E-2</v>
      </c>
    </row>
    <row r="5" spans="1:10" ht="24" customHeight="1">
      <c r="A5" s="5" t="s">
        <v>67</v>
      </c>
      <c r="B5" s="33">
        <v>8.2000000000000003E-2</v>
      </c>
      <c r="C5" s="33">
        <v>6.6000000000000003E-2</v>
      </c>
      <c r="D5" s="33">
        <v>0.14799999999999999</v>
      </c>
      <c r="E5" s="34">
        <v>0.125</v>
      </c>
      <c r="F5" s="35">
        <v>0.124</v>
      </c>
      <c r="G5" s="35">
        <v>0.12</v>
      </c>
      <c r="H5" s="35">
        <v>8.4000000000000005E-2</v>
      </c>
      <c r="I5" s="35">
        <v>0.16</v>
      </c>
      <c r="J5" s="201">
        <v>9.5000000000000001E-2</v>
      </c>
    </row>
    <row r="6" spans="1:10" ht="24" customHeight="1">
      <c r="A6" s="47" t="s">
        <v>116</v>
      </c>
      <c r="B6" s="33">
        <v>1.7000000000000001E-2</v>
      </c>
      <c r="C6" s="33">
        <v>1.4999999999999999E-2</v>
      </c>
      <c r="D6" s="33">
        <v>3.2000000000000001E-2</v>
      </c>
      <c r="E6" s="34">
        <v>2.5999999999999999E-2</v>
      </c>
      <c r="F6" s="35">
        <v>2.5999999999999999E-2</v>
      </c>
      <c r="G6" s="35">
        <v>2.3E-2</v>
      </c>
      <c r="H6" s="55">
        <v>1.4999999999999999E-2</v>
      </c>
      <c r="I6" s="55">
        <v>2.5000000000000001E-2</v>
      </c>
      <c r="J6" s="202"/>
    </row>
    <row r="7" spans="1:10" ht="24" customHeight="1">
      <c r="A7" s="5" t="s">
        <v>159</v>
      </c>
      <c r="B7" s="33">
        <v>0.26700000000000002</v>
      </c>
      <c r="C7" s="33">
        <v>0.30199999999999999</v>
      </c>
      <c r="D7" s="33">
        <v>0.30399999999999999</v>
      </c>
      <c r="E7" s="34">
        <v>0.29499999999999998</v>
      </c>
      <c r="F7" s="35">
        <v>0.26700000000000002</v>
      </c>
      <c r="G7" s="35">
        <v>0.251</v>
      </c>
      <c r="H7" s="35">
        <v>0.214</v>
      </c>
      <c r="I7" s="35">
        <v>0.19500000000000001</v>
      </c>
      <c r="J7" s="201">
        <v>0.15</v>
      </c>
    </row>
    <row r="8" spans="1:10" ht="24" customHeight="1">
      <c r="A8" s="5" t="s">
        <v>12</v>
      </c>
      <c r="B8" s="8">
        <v>36271</v>
      </c>
      <c r="C8" s="8">
        <v>34650</v>
      </c>
      <c r="D8" s="8">
        <v>32324</v>
      </c>
      <c r="E8" s="9">
        <v>28073</v>
      </c>
      <c r="F8" s="10">
        <v>34314</v>
      </c>
      <c r="G8" s="10">
        <v>35584</v>
      </c>
      <c r="H8" s="10">
        <v>32649</v>
      </c>
      <c r="I8" s="10">
        <v>24685</v>
      </c>
      <c r="J8" s="203">
        <v>14574</v>
      </c>
    </row>
    <row r="9" spans="1:10" ht="24" customHeight="1">
      <c r="A9" s="47" t="s">
        <v>117</v>
      </c>
      <c r="B9" s="33">
        <v>2.5000000000000001E-2</v>
      </c>
      <c r="C9" s="33">
        <v>2.3E-2</v>
      </c>
      <c r="D9" s="33">
        <v>2.1999999999999999E-2</v>
      </c>
      <c r="E9" s="34">
        <v>1.9E-2</v>
      </c>
      <c r="F9" s="35">
        <v>2.4E-2</v>
      </c>
      <c r="G9" s="35">
        <v>2.5999999999999999E-2</v>
      </c>
      <c r="H9" s="55">
        <v>2.4E-2</v>
      </c>
      <c r="I9" s="55">
        <v>1.6E-2</v>
      </c>
      <c r="J9" s="202"/>
    </row>
    <row r="10" spans="1:10" ht="24" customHeight="1">
      <c r="A10" s="47" t="s">
        <v>118</v>
      </c>
      <c r="B10" s="33">
        <v>0.46100000000000002</v>
      </c>
      <c r="C10" s="33">
        <v>0.48399999999999999</v>
      </c>
      <c r="D10" s="33">
        <v>0.438</v>
      </c>
      <c r="E10" s="34">
        <v>0.56000000000000005</v>
      </c>
      <c r="F10" s="35">
        <v>0.42899999999999999</v>
      </c>
      <c r="G10" s="35">
        <v>0.45</v>
      </c>
      <c r="H10" s="35">
        <v>0.40600000000000003</v>
      </c>
      <c r="I10" s="35">
        <v>0.36799999999999999</v>
      </c>
      <c r="J10" s="202">
        <v>0.70899999999999996</v>
      </c>
    </row>
    <row r="11" spans="1:10" ht="24" customHeight="1">
      <c r="A11" s="5" t="s">
        <v>68</v>
      </c>
      <c r="B11" s="14">
        <v>1.79</v>
      </c>
      <c r="C11" s="14">
        <v>1.54</v>
      </c>
      <c r="D11" s="14">
        <v>1.36</v>
      </c>
      <c r="E11" s="15" t="s">
        <v>0</v>
      </c>
      <c r="F11" s="16"/>
      <c r="G11" s="16"/>
      <c r="H11" s="16"/>
      <c r="I11" s="16"/>
      <c r="J11" s="204"/>
    </row>
    <row r="12" spans="1:10" ht="24" customHeight="1">
      <c r="A12" s="5" t="s">
        <v>206</v>
      </c>
      <c r="B12" s="14">
        <v>1.57</v>
      </c>
      <c r="C12" s="14">
        <v>1.28</v>
      </c>
      <c r="D12" s="14">
        <v>1.1299999999999999</v>
      </c>
      <c r="E12" s="20">
        <v>1.31</v>
      </c>
      <c r="F12" s="16" t="s">
        <v>1</v>
      </c>
      <c r="G12" s="16" t="s">
        <v>3</v>
      </c>
      <c r="H12" s="16" t="s">
        <v>3</v>
      </c>
      <c r="I12" s="16" t="s">
        <v>3</v>
      </c>
      <c r="J12" s="204" t="s">
        <v>3</v>
      </c>
    </row>
    <row r="13" spans="1:10" ht="24" customHeight="1">
      <c r="A13" s="5" t="s">
        <v>69</v>
      </c>
      <c r="B13" s="14">
        <v>9.31</v>
      </c>
      <c r="C13" s="14">
        <v>7.43</v>
      </c>
      <c r="D13" s="14">
        <v>3.6</v>
      </c>
      <c r="E13" s="20">
        <v>6.14</v>
      </c>
      <c r="F13" s="16" t="s">
        <v>2</v>
      </c>
      <c r="G13" s="16" t="s">
        <v>3</v>
      </c>
      <c r="H13" s="16" t="s">
        <v>3</v>
      </c>
      <c r="I13" s="16" t="s">
        <v>3</v>
      </c>
      <c r="J13" s="204" t="s">
        <v>3</v>
      </c>
    </row>
    <row r="14" spans="1:10" ht="24" customHeight="1">
      <c r="A14" s="47" t="s">
        <v>119</v>
      </c>
      <c r="B14" s="33">
        <v>0.02</v>
      </c>
      <c r="C14" s="33">
        <v>2.1000000000000001E-2</v>
      </c>
      <c r="D14" s="33">
        <v>2.1000000000000001E-2</v>
      </c>
      <c r="E14" s="34">
        <v>2.1000000000000001E-2</v>
      </c>
      <c r="F14" s="35">
        <v>0.02</v>
      </c>
      <c r="G14" s="35">
        <v>2.1999999999999999E-2</v>
      </c>
      <c r="H14" s="35">
        <v>0.02</v>
      </c>
      <c r="I14" s="35">
        <v>1.7000000000000001E-2</v>
      </c>
      <c r="J14" s="201">
        <v>1.6E-2</v>
      </c>
    </row>
    <row r="15" spans="1:10" ht="24" customHeight="1">
      <c r="A15" s="5" t="s">
        <v>70</v>
      </c>
      <c r="B15" s="8">
        <v>1192870</v>
      </c>
      <c r="C15" s="8">
        <v>1111157</v>
      </c>
      <c r="D15" s="8">
        <v>1118658</v>
      </c>
      <c r="E15" s="9">
        <v>1098370</v>
      </c>
      <c r="F15" s="10">
        <v>1151516</v>
      </c>
      <c r="G15" s="10">
        <v>1084787</v>
      </c>
      <c r="H15" s="10">
        <v>1135482</v>
      </c>
      <c r="I15" s="10">
        <v>1081133</v>
      </c>
      <c r="J15" s="203">
        <v>1061101</v>
      </c>
    </row>
    <row r="16" spans="1:10" ht="24" customHeight="1">
      <c r="A16" s="5" t="s">
        <v>71</v>
      </c>
      <c r="B16" s="33">
        <v>1.53</v>
      </c>
      <c r="C16" s="33">
        <v>1.4470000000000001</v>
      </c>
      <c r="D16" s="33">
        <v>1.452</v>
      </c>
      <c r="E16" s="34">
        <v>1.3029999999999999</v>
      </c>
      <c r="F16" s="35">
        <v>1.49</v>
      </c>
      <c r="G16" s="35">
        <v>1.5820000000000001</v>
      </c>
      <c r="H16" s="35">
        <v>1.4410000000000001</v>
      </c>
      <c r="I16" s="35">
        <v>1.5960000000000001</v>
      </c>
      <c r="J16" s="201">
        <v>1.474</v>
      </c>
    </row>
    <row r="17" spans="1:10" ht="24" customHeight="1">
      <c r="A17" s="21" t="s">
        <v>72</v>
      </c>
      <c r="B17" s="22">
        <v>997</v>
      </c>
      <c r="C17" s="22">
        <v>1012</v>
      </c>
      <c r="D17" s="22">
        <v>1063</v>
      </c>
      <c r="E17" s="23">
        <v>1126</v>
      </c>
      <c r="F17" s="24">
        <v>1183</v>
      </c>
      <c r="G17" s="24">
        <v>1233</v>
      </c>
      <c r="H17" s="24">
        <v>1311</v>
      </c>
      <c r="I17" s="24">
        <v>1146</v>
      </c>
      <c r="J17" s="205">
        <v>1161</v>
      </c>
    </row>
    <row r="18" spans="1:10" ht="24" customHeight="1">
      <c r="A18" s="21" t="s">
        <v>73</v>
      </c>
      <c r="B18" s="52">
        <v>0.84</v>
      </c>
      <c r="C18" s="52">
        <v>0.7</v>
      </c>
      <c r="D18" s="52">
        <v>1.54</v>
      </c>
      <c r="E18" s="53">
        <v>1.26</v>
      </c>
      <c r="F18" s="54">
        <v>1.22</v>
      </c>
      <c r="G18" s="54">
        <v>1.06</v>
      </c>
      <c r="H18" s="54">
        <v>0.71</v>
      </c>
      <c r="I18" s="54">
        <v>1.1299999999999999</v>
      </c>
      <c r="J18" s="206">
        <v>0.6</v>
      </c>
    </row>
    <row r="19" spans="1:10" ht="24" customHeight="1">
      <c r="A19" s="5" t="s">
        <v>74</v>
      </c>
      <c r="B19" s="52">
        <v>1.05</v>
      </c>
      <c r="C19" s="52">
        <v>1.2</v>
      </c>
      <c r="D19" s="52">
        <v>1</v>
      </c>
      <c r="E19" s="53">
        <v>0.84</v>
      </c>
      <c r="F19" s="54">
        <v>0.42</v>
      </c>
      <c r="G19" s="54">
        <v>0</v>
      </c>
      <c r="H19" s="54">
        <v>0</v>
      </c>
      <c r="I19" s="54">
        <v>0</v>
      </c>
      <c r="J19" s="206">
        <v>0</v>
      </c>
    </row>
    <row r="20" spans="1:10" ht="17.25" customHeight="1"/>
    <row r="21" spans="1:10" ht="24" customHeight="1">
      <c r="A21" s="77" t="s">
        <v>163</v>
      </c>
    </row>
    <row r="22" spans="1:10" ht="24" customHeight="1">
      <c r="A22" s="77" t="s">
        <v>120</v>
      </c>
    </row>
    <row r="23" spans="1:10" ht="24" customHeight="1">
      <c r="A23" s="77" t="s">
        <v>164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10" ht="24" customHeight="1">
      <c r="A24" s="77" t="s">
        <v>121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24" customHeight="1"/>
    <row r="26" spans="1:10" ht="24" customHeight="1">
      <c r="A26" s="123" t="s">
        <v>9</v>
      </c>
    </row>
    <row r="31" spans="1:10" ht="41.25" customHeight="1"/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D31"/>
  <sheetViews>
    <sheetView view="pageBreakPreview" zoomScale="90" zoomScaleNormal="80" zoomScaleSheetLayoutView="90" zoomScalePageLayoutView="165" workbookViewId="0">
      <selection activeCell="D31" sqref="D31"/>
    </sheetView>
  </sheetViews>
  <sheetFormatPr defaultColWidth="11.5546875" defaultRowHeight="15"/>
  <cols>
    <col min="1" max="1" width="31.21875" style="58" customWidth="1"/>
    <col min="2" max="15" width="8.109375" style="58" customWidth="1"/>
    <col min="16" max="16" width="6.44140625" style="58" bestFit="1" customWidth="1"/>
    <col min="17" max="30" width="8.109375" style="58" customWidth="1"/>
    <col min="31" max="31" width="8.44140625" style="58" customWidth="1"/>
    <col min="32" max="16384" width="11.5546875" style="58"/>
  </cols>
  <sheetData>
    <row r="1" spans="1:30" s="83" customFormat="1" ht="24.75" customHeight="1">
      <c r="A1" s="82" t="s">
        <v>64</v>
      </c>
      <c r="B1" s="8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s="83" customFormat="1" ht="24.75" customHeight="1">
      <c r="A2" s="150" t="s">
        <v>11</v>
      </c>
      <c r="B2" s="154" t="s">
        <v>210</v>
      </c>
      <c r="C2" s="154" t="s">
        <v>205</v>
      </c>
      <c r="D2" s="154" t="s">
        <v>197</v>
      </c>
      <c r="E2" s="154" t="s">
        <v>193</v>
      </c>
      <c r="F2" s="154" t="s">
        <v>189</v>
      </c>
      <c r="G2" s="154" t="s">
        <v>157</v>
      </c>
      <c r="H2" s="154" t="s">
        <v>25</v>
      </c>
      <c r="I2" s="154" t="s">
        <v>26</v>
      </c>
      <c r="J2" s="154" t="s">
        <v>27</v>
      </c>
      <c r="K2" s="154" t="s">
        <v>28</v>
      </c>
      <c r="L2" s="154" t="s">
        <v>29</v>
      </c>
      <c r="M2" s="154" t="s">
        <v>30</v>
      </c>
      <c r="N2" s="154" t="s">
        <v>31</v>
      </c>
      <c r="O2" s="154" t="s">
        <v>32</v>
      </c>
      <c r="P2" s="154" t="s">
        <v>33</v>
      </c>
      <c r="Q2" s="154" t="s">
        <v>34</v>
      </c>
      <c r="R2" s="154" t="s">
        <v>35</v>
      </c>
      <c r="S2" s="154" t="s">
        <v>36</v>
      </c>
      <c r="T2" s="154" t="s">
        <v>37</v>
      </c>
      <c r="U2" s="154" t="s">
        <v>38</v>
      </c>
      <c r="V2" s="154" t="s">
        <v>39</v>
      </c>
      <c r="W2" s="154" t="s">
        <v>40</v>
      </c>
      <c r="X2" s="154" t="s">
        <v>41</v>
      </c>
      <c r="Y2" s="154" t="s">
        <v>42</v>
      </c>
      <c r="Z2" s="154" t="s">
        <v>43</v>
      </c>
      <c r="AA2" s="154" t="s">
        <v>44</v>
      </c>
      <c r="AB2" s="154" t="s">
        <v>45</v>
      </c>
      <c r="AC2" s="154" t="s">
        <v>46</v>
      </c>
      <c r="AD2" s="154" t="s">
        <v>47</v>
      </c>
    </row>
    <row r="3" spans="1:30" ht="24" customHeight="1">
      <c r="A3" s="38" t="s">
        <v>65</v>
      </c>
      <c r="B3" s="166">
        <v>8102</v>
      </c>
      <c r="C3" s="166">
        <v>2925</v>
      </c>
      <c r="D3" s="166">
        <v>4188</v>
      </c>
      <c r="E3" s="166">
        <v>5077</v>
      </c>
      <c r="F3" s="166">
        <v>7576</v>
      </c>
      <c r="G3" s="166">
        <v>243</v>
      </c>
      <c r="H3" s="166">
        <v>5102</v>
      </c>
      <c r="I3" s="166">
        <v>7983</v>
      </c>
      <c r="J3" s="167">
        <v>3315</v>
      </c>
      <c r="K3" s="168">
        <v>12047</v>
      </c>
      <c r="L3" s="167">
        <v>12008</v>
      </c>
      <c r="M3" s="168">
        <v>5993</v>
      </c>
      <c r="N3" s="168">
        <v>6412</v>
      </c>
      <c r="O3" s="168">
        <v>9752</v>
      </c>
      <c r="P3" s="168">
        <v>5107</v>
      </c>
      <c r="Q3" s="193">
        <v>10590</v>
      </c>
      <c r="R3" s="188">
        <v>4288</v>
      </c>
      <c r="S3" s="168">
        <v>6483</v>
      </c>
      <c r="T3" s="168">
        <v>6751</v>
      </c>
      <c r="U3" s="168">
        <v>7536</v>
      </c>
      <c r="V3" s="168">
        <v>7989</v>
      </c>
      <c r="W3" s="168">
        <v>11953</v>
      </c>
      <c r="X3" s="168">
        <v>1664</v>
      </c>
      <c r="Y3" s="168">
        <v>4148</v>
      </c>
      <c r="Z3" s="168">
        <v>7729</v>
      </c>
      <c r="AA3" s="159">
        <v>-9996</v>
      </c>
      <c r="AB3" s="159">
        <v>2519</v>
      </c>
      <c r="AC3" s="159">
        <v>11743</v>
      </c>
      <c r="AD3" s="159">
        <v>12691</v>
      </c>
    </row>
    <row r="4" spans="1:30" ht="24" customHeight="1">
      <c r="A4" s="5" t="s">
        <v>122</v>
      </c>
      <c r="B4" s="36">
        <v>0.183</v>
      </c>
      <c r="C4" s="36">
        <v>9.2999999999999999E-2</v>
      </c>
      <c r="D4" s="36">
        <v>0.111</v>
      </c>
      <c r="E4" s="36">
        <v>0.126</v>
      </c>
      <c r="F4" s="36">
        <v>0.16200000000000001</v>
      </c>
      <c r="G4" s="36">
        <v>1.7000000000000001E-2</v>
      </c>
      <c r="H4" s="36">
        <v>0.125</v>
      </c>
      <c r="I4" s="36">
        <v>0.17172907401332071</v>
      </c>
      <c r="J4" s="29">
        <v>7.9161947266692595E-2</v>
      </c>
      <c r="K4" s="37">
        <v>0.23750181329361816</v>
      </c>
      <c r="L4" s="29">
        <v>0.27150563842579051</v>
      </c>
      <c r="M4" s="37">
        <v>0.1420441111899213</v>
      </c>
      <c r="N4" s="37">
        <v>0.13900000000000001</v>
      </c>
      <c r="O4" s="37">
        <v>0.186</v>
      </c>
      <c r="P4" s="37">
        <v>0.111</v>
      </c>
      <c r="Q4" s="194">
        <v>0.25900000000000001</v>
      </c>
      <c r="R4" s="189">
        <v>0.112</v>
      </c>
      <c r="S4" s="37">
        <v>0.214</v>
      </c>
      <c r="T4" s="37">
        <v>0.14499999999999999</v>
      </c>
      <c r="U4" s="37">
        <v>0.17299999999999999</v>
      </c>
      <c r="V4" s="37">
        <v>0.17199999999999999</v>
      </c>
      <c r="W4" s="37">
        <v>0.26</v>
      </c>
      <c r="X4" s="37">
        <v>1.2E-2</v>
      </c>
      <c r="Y4" s="37">
        <v>9.0999999999999998E-2</v>
      </c>
      <c r="Z4" s="37">
        <v>0.19500000000000001</v>
      </c>
      <c r="AA4" s="56">
        <v>-0.26900000000000002</v>
      </c>
      <c r="AB4" s="56">
        <v>6.6000000000000003E-2</v>
      </c>
      <c r="AC4" s="56">
        <v>0.27400000000000002</v>
      </c>
      <c r="AD4" s="56">
        <v>0.27200000000000002</v>
      </c>
    </row>
    <row r="5" spans="1:30" ht="24" customHeight="1">
      <c r="A5" s="5" t="s">
        <v>67</v>
      </c>
      <c r="B5" s="36">
        <v>0.13700000000000001</v>
      </c>
      <c r="C5" s="36">
        <v>4.8000000000000001E-2</v>
      </c>
      <c r="D5" s="36">
        <v>6.9000000000000006E-2</v>
      </c>
      <c r="E5" s="36">
        <v>8.5999999999999993E-2</v>
      </c>
      <c r="F5" s="36">
        <v>0.125</v>
      </c>
      <c r="G5" s="36">
        <v>4.0000000000000001E-3</v>
      </c>
      <c r="H5" s="36">
        <v>8.2000000000000003E-2</v>
      </c>
      <c r="I5" s="36">
        <v>0.12397478728959481</v>
      </c>
      <c r="J5" s="29">
        <v>4.9814323308482525E-2</v>
      </c>
      <c r="K5" s="37">
        <v>0.18640851812810072</v>
      </c>
      <c r="L5" s="29">
        <v>0.19511878067011146</v>
      </c>
      <c r="M5" s="37">
        <v>0.1012091735062654</v>
      </c>
      <c r="N5" s="37">
        <v>0.106</v>
      </c>
      <c r="O5" s="37">
        <v>0.159</v>
      </c>
      <c r="P5" s="37">
        <v>8.5999999999999993E-2</v>
      </c>
      <c r="Q5" s="194">
        <v>0.184</v>
      </c>
      <c r="R5" s="189">
        <v>7.2999999999999995E-2</v>
      </c>
      <c r="S5" s="37">
        <v>0.109</v>
      </c>
      <c r="T5" s="37">
        <v>0.11600000000000001</v>
      </c>
      <c r="U5" s="37">
        <v>0.13</v>
      </c>
      <c r="V5" s="37">
        <v>0.14000000000000001</v>
      </c>
      <c r="W5" s="37">
        <v>0.218</v>
      </c>
      <c r="X5" s="37">
        <v>3.1E-2</v>
      </c>
      <c r="Y5" s="37">
        <v>7.9000000000000001E-2</v>
      </c>
      <c r="Z5" s="37">
        <v>0.152</v>
      </c>
      <c r="AA5" s="56">
        <v>-0.19500000000000001</v>
      </c>
      <c r="AB5" s="56">
        <v>4.8000000000000001E-2</v>
      </c>
      <c r="AC5" s="56">
        <v>0.23300000000000001</v>
      </c>
      <c r="AD5" s="56">
        <v>0.26700000000000002</v>
      </c>
    </row>
    <row r="6" spans="1:30" ht="24" customHeight="1">
      <c r="A6" s="47" t="s">
        <v>123</v>
      </c>
      <c r="B6" s="141">
        <v>2.7E-2</v>
      </c>
      <c r="C6" s="141">
        <v>0.01</v>
      </c>
      <c r="D6" s="141">
        <v>1.4E-2</v>
      </c>
      <c r="E6" s="141">
        <v>1.7000000000000001E-2</v>
      </c>
      <c r="F6" s="141">
        <v>2.7E-2</v>
      </c>
      <c r="G6" s="141">
        <v>1E-3</v>
      </c>
      <c r="H6" s="141">
        <v>1.7999999999999999E-2</v>
      </c>
      <c r="I6" s="141">
        <v>2.8812421499415306E-2</v>
      </c>
      <c r="J6" s="142">
        <v>1.1917183662134363E-2</v>
      </c>
      <c r="K6" s="37">
        <v>4.2003746412012925E-2</v>
      </c>
      <c r="L6" s="29">
        <v>4.0904877339445672E-2</v>
      </c>
      <c r="M6" s="37">
        <v>2.0444775354374257E-2</v>
      </c>
      <c r="N6" s="37">
        <v>2.3E-2</v>
      </c>
      <c r="O6" s="37">
        <v>3.4000000000000002E-2</v>
      </c>
      <c r="P6" s="37">
        <v>1.7000000000000001E-2</v>
      </c>
      <c r="Q6" s="194">
        <v>3.6999999999999998E-2</v>
      </c>
      <c r="R6" s="190">
        <v>1.4999999999999999E-2</v>
      </c>
      <c r="S6" s="56">
        <v>2.1999999999999999E-2</v>
      </c>
      <c r="T6" s="56">
        <v>2.4E-2</v>
      </c>
      <c r="U6" s="56">
        <v>2.7E-2</v>
      </c>
      <c r="V6" s="56">
        <v>2.9000000000000001E-2</v>
      </c>
      <c r="W6" s="56">
        <v>4.4999999999999998E-2</v>
      </c>
      <c r="X6" s="56">
        <v>6.0000000000000001E-3</v>
      </c>
      <c r="Y6" s="56">
        <v>1.4999999999999999E-2</v>
      </c>
      <c r="Z6" s="56">
        <v>2.7E-2</v>
      </c>
      <c r="AA6" s="56">
        <v>-3.5000000000000003E-2</v>
      </c>
      <c r="AB6" s="56">
        <v>8.9999999999999993E-3</v>
      </c>
      <c r="AC6" s="56">
        <v>4.2000000000000003E-2</v>
      </c>
      <c r="AD6" s="56">
        <v>4.5999999999999999E-2</v>
      </c>
    </row>
    <row r="7" spans="1:30" ht="24" customHeight="1">
      <c r="A7" s="5" t="s">
        <v>143</v>
      </c>
      <c r="B7" s="36">
        <v>0.247</v>
      </c>
      <c r="C7" s="36">
        <v>0.26700000000000002</v>
      </c>
      <c r="D7" s="36">
        <v>0.26800000000000002</v>
      </c>
      <c r="E7" s="36">
        <v>0.27600000000000002</v>
      </c>
      <c r="F7" s="36">
        <v>0.27400000000000002</v>
      </c>
      <c r="G7" s="36">
        <v>0.30199999999999999</v>
      </c>
      <c r="H7" s="36">
        <v>0.29099999999999998</v>
      </c>
      <c r="I7" s="36">
        <v>0.28899999999999998</v>
      </c>
      <c r="J7" s="29">
        <v>0.312</v>
      </c>
      <c r="K7" s="37">
        <v>0.30399999999999999</v>
      </c>
      <c r="L7" s="29">
        <v>0.29199999999999998</v>
      </c>
      <c r="M7" s="37">
        <v>0.28000000000000003</v>
      </c>
      <c r="N7" s="37">
        <v>0.26700000000000002</v>
      </c>
      <c r="O7" s="37">
        <v>0.29499999999999998</v>
      </c>
      <c r="P7" s="37">
        <v>0.27100000000000002</v>
      </c>
      <c r="Q7" s="194">
        <v>0.26800000000000002</v>
      </c>
      <c r="R7" s="189">
        <v>0.248</v>
      </c>
      <c r="S7" s="37">
        <v>0.26700000000000002</v>
      </c>
      <c r="T7" s="37">
        <v>0.26200000000000001</v>
      </c>
      <c r="U7" s="37">
        <v>0.25900000000000001</v>
      </c>
      <c r="V7" s="37">
        <v>0.26600000000000001</v>
      </c>
      <c r="W7" s="37">
        <v>0.251</v>
      </c>
      <c r="X7" s="37">
        <v>0.24099999999999999</v>
      </c>
      <c r="Y7" s="56">
        <v>0.23300000000000001</v>
      </c>
      <c r="Z7" s="37">
        <v>0.221</v>
      </c>
      <c r="AA7" s="56">
        <v>0.214</v>
      </c>
      <c r="AB7" s="56">
        <v>0.23599999999999999</v>
      </c>
      <c r="AC7" s="56">
        <v>0.224</v>
      </c>
      <c r="AD7" s="56">
        <v>0.20399999999999999</v>
      </c>
    </row>
    <row r="8" spans="1:30" ht="24" customHeight="1">
      <c r="A8" s="5" t="s">
        <v>12</v>
      </c>
      <c r="B8" s="11">
        <v>9641</v>
      </c>
      <c r="C8" s="11">
        <v>9201</v>
      </c>
      <c r="D8" s="11">
        <v>8894</v>
      </c>
      <c r="E8" s="11">
        <v>10158</v>
      </c>
      <c r="F8" s="11">
        <v>8018</v>
      </c>
      <c r="G8" s="11">
        <v>8443</v>
      </c>
      <c r="H8" s="11">
        <v>8596</v>
      </c>
      <c r="I8" s="11">
        <v>10145</v>
      </c>
      <c r="J8" s="12">
        <v>7466</v>
      </c>
      <c r="K8" s="13">
        <v>7292</v>
      </c>
      <c r="L8" s="12">
        <v>8834</v>
      </c>
      <c r="M8" s="13">
        <v>8929</v>
      </c>
      <c r="N8" s="13">
        <v>7269</v>
      </c>
      <c r="O8" s="13">
        <v>5776</v>
      </c>
      <c r="P8" s="13">
        <v>7057</v>
      </c>
      <c r="Q8" s="195">
        <v>7385</v>
      </c>
      <c r="R8" s="191">
        <v>7855</v>
      </c>
      <c r="S8" s="13">
        <v>9977</v>
      </c>
      <c r="T8" s="13">
        <v>7340</v>
      </c>
      <c r="U8" s="13">
        <v>7118</v>
      </c>
      <c r="V8" s="13">
        <v>9879</v>
      </c>
      <c r="W8" s="13">
        <v>9229</v>
      </c>
      <c r="X8" s="13">
        <v>7782</v>
      </c>
      <c r="Y8" s="13">
        <v>10020</v>
      </c>
      <c r="Z8" s="13">
        <v>8553</v>
      </c>
      <c r="AA8" s="51">
        <v>8058</v>
      </c>
      <c r="AB8" s="51">
        <v>7742</v>
      </c>
      <c r="AC8" s="51">
        <v>9704</v>
      </c>
      <c r="AD8" s="51">
        <v>7145</v>
      </c>
    </row>
    <row r="9" spans="1:30" ht="24" customHeight="1">
      <c r="A9" s="47" t="s">
        <v>124</v>
      </c>
      <c r="B9" s="36">
        <v>2.7E-2</v>
      </c>
      <c r="C9" s="36">
        <v>2.5000000000000001E-2</v>
      </c>
      <c r="D9" s="36">
        <v>2.5000000000000001E-2</v>
      </c>
      <c r="E9" s="36">
        <v>2.9000000000000001E-2</v>
      </c>
      <c r="F9" s="36">
        <v>2.1999999999999999E-2</v>
      </c>
      <c r="G9" s="36">
        <v>2.1999999999999999E-2</v>
      </c>
      <c r="H9" s="36">
        <v>2.4E-2</v>
      </c>
      <c r="I9" s="141">
        <v>2.8000000000000001E-2</v>
      </c>
      <c r="J9" s="142">
        <v>1.9E-2</v>
      </c>
      <c r="K9" s="56">
        <v>1.9E-2</v>
      </c>
      <c r="L9" s="142">
        <v>2.361784956461584E-2</v>
      </c>
      <c r="M9" s="56">
        <v>2.4407968204144138E-2</v>
      </c>
      <c r="N9" s="56">
        <v>0.02</v>
      </c>
      <c r="O9" s="56">
        <v>1.4999999999999999E-2</v>
      </c>
      <c r="P9" s="56">
        <v>1.7999999999999999E-2</v>
      </c>
      <c r="Q9" s="196">
        <v>0.02</v>
      </c>
      <c r="R9" s="190">
        <v>2.1000000000000001E-2</v>
      </c>
      <c r="S9" s="56">
        <v>2.8000000000000001E-2</v>
      </c>
      <c r="T9" s="56">
        <v>1.9E-2</v>
      </c>
      <c r="U9" s="56">
        <v>1.9E-2</v>
      </c>
      <c r="V9" s="56">
        <v>2.9000000000000001E-2</v>
      </c>
      <c r="W9" s="56">
        <v>2.7E-2</v>
      </c>
      <c r="X9" s="56">
        <v>2.5000000000000001E-2</v>
      </c>
      <c r="Y9" s="56">
        <v>2.9000000000000001E-2</v>
      </c>
      <c r="Z9" s="56">
        <v>2.4E-2</v>
      </c>
      <c r="AA9" s="56">
        <v>2.3E-2</v>
      </c>
      <c r="AB9" s="56">
        <v>2.1999999999999999E-2</v>
      </c>
      <c r="AC9" s="56">
        <v>2.8000000000000001E-2</v>
      </c>
      <c r="AD9" s="56">
        <v>2.1000000000000001E-2</v>
      </c>
    </row>
    <row r="10" spans="1:30" ht="24" customHeight="1">
      <c r="A10" s="5" t="s">
        <v>125</v>
      </c>
      <c r="B10" s="36">
        <v>0.379</v>
      </c>
      <c r="C10" s="36">
        <v>0.50700000000000001</v>
      </c>
      <c r="D10" s="36">
        <v>0.48699999999999999</v>
      </c>
      <c r="E10" s="36">
        <v>0.436</v>
      </c>
      <c r="F10" s="36">
        <v>0.42499999999999999</v>
      </c>
      <c r="G10" s="36">
        <v>0.50700000000000001</v>
      </c>
      <c r="H10" s="36">
        <v>0.48899999999999999</v>
      </c>
      <c r="I10" s="36">
        <v>0.40764633980714382</v>
      </c>
      <c r="J10" s="29">
        <v>0.55800464037122965</v>
      </c>
      <c r="K10" s="37">
        <v>0.39088513209487691</v>
      </c>
      <c r="L10" s="29">
        <v>0.47934521768940691</v>
      </c>
      <c r="M10" s="37">
        <v>0.41749186844958441</v>
      </c>
      <c r="N10" s="37">
        <v>0.48</v>
      </c>
      <c r="O10" s="37">
        <v>0.57699999999999996</v>
      </c>
      <c r="P10" s="37">
        <v>0.56200000000000006</v>
      </c>
      <c r="Q10" s="194">
        <v>0.437</v>
      </c>
      <c r="R10" s="189">
        <v>0.72</v>
      </c>
      <c r="S10" s="37">
        <v>0.44800000000000001</v>
      </c>
      <c r="T10" s="37">
        <v>0.42899999999999999</v>
      </c>
      <c r="U10" s="37">
        <v>0.496</v>
      </c>
      <c r="V10" s="56">
        <v>0.36599999999999999</v>
      </c>
      <c r="W10" s="56">
        <v>0.38400000000000001</v>
      </c>
      <c r="X10" s="56">
        <v>0.57399999999999995</v>
      </c>
      <c r="Y10" s="56">
        <v>0.52200000000000002</v>
      </c>
      <c r="Z10" s="56">
        <v>0.38700000000000001</v>
      </c>
      <c r="AA10" s="56">
        <v>0.42699999999999999</v>
      </c>
      <c r="AB10" s="56">
        <v>0.46800000000000003</v>
      </c>
      <c r="AC10" s="56">
        <v>0.441</v>
      </c>
      <c r="AD10" s="56">
        <v>0.311</v>
      </c>
    </row>
    <row r="11" spans="1:30" ht="24" customHeight="1">
      <c r="A11" s="5" t="s">
        <v>68</v>
      </c>
      <c r="B11" s="17">
        <v>1.68</v>
      </c>
      <c r="C11" s="17">
        <v>1.79</v>
      </c>
      <c r="D11" s="17">
        <v>1.85</v>
      </c>
      <c r="E11" s="17">
        <v>1.69</v>
      </c>
      <c r="F11" s="17">
        <v>1.59</v>
      </c>
      <c r="G11" s="17">
        <v>1.54</v>
      </c>
      <c r="H11" s="17">
        <v>1.49</v>
      </c>
      <c r="I11" s="17">
        <v>1.45</v>
      </c>
      <c r="J11" s="18">
        <v>1.33</v>
      </c>
      <c r="K11" s="19">
        <v>1.36</v>
      </c>
      <c r="L11" s="18">
        <v>1.2</v>
      </c>
      <c r="M11" s="19">
        <v>1.39</v>
      </c>
      <c r="N11" s="19">
        <v>1.42</v>
      </c>
      <c r="O11" s="19">
        <v>1.34</v>
      </c>
      <c r="P11" s="19" t="s">
        <v>3</v>
      </c>
      <c r="Q11" s="197" t="s">
        <v>3</v>
      </c>
      <c r="R11" s="192" t="s">
        <v>3</v>
      </c>
      <c r="S11" s="19" t="s">
        <v>3</v>
      </c>
      <c r="T11" s="19" t="s">
        <v>3</v>
      </c>
      <c r="U11" s="19" t="s">
        <v>3</v>
      </c>
      <c r="V11" s="19" t="s">
        <v>3</v>
      </c>
      <c r="W11" s="19" t="s">
        <v>3</v>
      </c>
      <c r="X11" s="19" t="s">
        <v>3</v>
      </c>
      <c r="Y11" s="19" t="s">
        <v>3</v>
      </c>
      <c r="Z11" s="19" t="s">
        <v>3</v>
      </c>
      <c r="AA11" s="143" t="s">
        <v>3</v>
      </c>
      <c r="AB11" s="143" t="s">
        <v>3</v>
      </c>
      <c r="AC11" s="143" t="s">
        <v>3</v>
      </c>
      <c r="AD11" s="143" t="s">
        <v>3</v>
      </c>
    </row>
    <row r="12" spans="1:30" ht="24" customHeight="1">
      <c r="A12" s="5" t="s">
        <v>206</v>
      </c>
      <c r="B12" s="17">
        <v>1.71</v>
      </c>
      <c r="C12" s="17">
        <v>1.57</v>
      </c>
      <c r="D12" s="17">
        <v>1.58</v>
      </c>
      <c r="E12" s="17">
        <v>1.83</v>
      </c>
      <c r="F12" s="17">
        <v>1.58</v>
      </c>
      <c r="G12" s="17">
        <v>1.28</v>
      </c>
      <c r="H12" s="17">
        <v>1.4</v>
      </c>
      <c r="I12" s="17">
        <v>1.23</v>
      </c>
      <c r="J12" s="18">
        <v>1.34</v>
      </c>
      <c r="K12" s="19">
        <v>1.1299999999999999</v>
      </c>
      <c r="L12" s="18">
        <v>1.0900000000000001</v>
      </c>
      <c r="M12" s="19">
        <v>1.19</v>
      </c>
      <c r="N12" s="19">
        <v>1.18</v>
      </c>
      <c r="O12" s="19">
        <v>1.31</v>
      </c>
      <c r="P12" s="19">
        <v>1.08</v>
      </c>
      <c r="Q12" s="197">
        <v>1.1000000000000001</v>
      </c>
      <c r="R12" s="192">
        <v>1.04</v>
      </c>
      <c r="S12" s="19">
        <v>1.02</v>
      </c>
      <c r="T12" s="19" t="s">
        <v>3</v>
      </c>
      <c r="U12" s="19" t="s">
        <v>3</v>
      </c>
      <c r="V12" s="19" t="s">
        <v>3</v>
      </c>
      <c r="W12" s="19" t="s">
        <v>3</v>
      </c>
      <c r="X12" s="19" t="s">
        <v>3</v>
      </c>
      <c r="Y12" s="19" t="s">
        <v>3</v>
      </c>
      <c r="Z12" s="19" t="s">
        <v>3</v>
      </c>
      <c r="AA12" s="143" t="s">
        <v>3</v>
      </c>
      <c r="AB12" s="143" t="s">
        <v>3</v>
      </c>
      <c r="AC12" s="143" t="s">
        <v>3</v>
      </c>
      <c r="AD12" s="143" t="s">
        <v>3</v>
      </c>
    </row>
    <row r="13" spans="1:30" ht="24" customHeight="1">
      <c r="A13" s="5" t="s">
        <v>69</v>
      </c>
      <c r="B13" s="241">
        <v>7.51</v>
      </c>
      <c r="C13" s="17">
        <v>9.31</v>
      </c>
      <c r="D13" s="17">
        <v>8.73</v>
      </c>
      <c r="E13" s="17">
        <v>4.7</v>
      </c>
      <c r="F13" s="17">
        <v>1.53</v>
      </c>
      <c r="G13" s="17">
        <v>7.43</v>
      </c>
      <c r="H13" s="17">
        <v>5.94</v>
      </c>
      <c r="I13" s="17">
        <v>6.84</v>
      </c>
      <c r="J13" s="18">
        <v>4.96</v>
      </c>
      <c r="K13" s="19">
        <v>3.6</v>
      </c>
      <c r="L13" s="18">
        <v>1.9</v>
      </c>
      <c r="M13" s="19">
        <v>3.77</v>
      </c>
      <c r="N13" s="19">
        <v>3.79</v>
      </c>
      <c r="O13" s="19">
        <v>6.14</v>
      </c>
      <c r="P13" s="19">
        <v>2.2200000000000002</v>
      </c>
      <c r="Q13" s="197">
        <v>2.08</v>
      </c>
      <c r="R13" s="192">
        <v>2.2400000000000002</v>
      </c>
      <c r="S13" s="19">
        <v>2.08</v>
      </c>
      <c r="T13" s="19" t="s">
        <v>3</v>
      </c>
      <c r="U13" s="19" t="s">
        <v>3</v>
      </c>
      <c r="V13" s="19" t="s">
        <v>3</v>
      </c>
      <c r="W13" s="19" t="s">
        <v>3</v>
      </c>
      <c r="X13" s="19" t="s">
        <v>3</v>
      </c>
      <c r="Y13" s="19" t="s">
        <v>3</v>
      </c>
      <c r="Z13" s="19" t="s">
        <v>3</v>
      </c>
      <c r="AA13" s="143" t="s">
        <v>3</v>
      </c>
      <c r="AB13" s="143" t="s">
        <v>3</v>
      </c>
      <c r="AC13" s="143" t="s">
        <v>3</v>
      </c>
      <c r="AD13" s="143" t="s">
        <v>4</v>
      </c>
    </row>
    <row r="14" spans="1:30" ht="24" customHeight="1">
      <c r="A14" s="47" t="s">
        <v>126</v>
      </c>
      <c r="B14" s="36">
        <v>0.02</v>
      </c>
      <c r="C14" s="36">
        <v>2.1000000000000001E-2</v>
      </c>
      <c r="D14" s="36">
        <v>1.9E-2</v>
      </c>
      <c r="E14" s="36">
        <v>2.1000000000000001E-2</v>
      </c>
      <c r="F14" s="36">
        <v>2.1000000000000001E-2</v>
      </c>
      <c r="G14" s="36">
        <v>2.1000000000000001E-2</v>
      </c>
      <c r="H14" s="36">
        <v>1.9E-2</v>
      </c>
      <c r="I14" s="36">
        <v>2.1666161375546798E-2</v>
      </c>
      <c r="J14" s="29">
        <v>2.2479079770535797E-2</v>
      </c>
      <c r="K14" s="37">
        <v>2.1202355933547821E-2</v>
      </c>
      <c r="L14" s="29">
        <v>1.9052379993297772E-2</v>
      </c>
      <c r="M14" s="37">
        <v>1.9704492315512384E-2</v>
      </c>
      <c r="N14" s="37">
        <v>2.1999999999999999E-2</v>
      </c>
      <c r="O14" s="37">
        <v>2.5000000000000001E-2</v>
      </c>
      <c r="P14" s="37">
        <v>1.7999999999999999E-2</v>
      </c>
      <c r="Q14" s="194">
        <v>0.02</v>
      </c>
      <c r="R14" s="189">
        <v>2.1000000000000001E-2</v>
      </c>
      <c r="S14" s="37">
        <v>0.02</v>
      </c>
      <c r="T14" s="37">
        <v>1.7999999999999999E-2</v>
      </c>
      <c r="U14" s="37">
        <v>2.1000000000000001E-2</v>
      </c>
      <c r="V14" s="37">
        <v>2.1000000000000001E-2</v>
      </c>
      <c r="W14" s="37">
        <v>2.4E-2</v>
      </c>
      <c r="X14" s="37">
        <v>2.1999999999999999E-2</v>
      </c>
      <c r="Y14" s="37">
        <v>2.1999999999999999E-2</v>
      </c>
      <c r="Z14" s="37">
        <v>2.1000000000000001E-2</v>
      </c>
      <c r="AA14" s="56">
        <v>2.4E-2</v>
      </c>
      <c r="AB14" s="56">
        <v>1.6E-2</v>
      </c>
      <c r="AC14" s="56">
        <v>2.1999999999999999E-2</v>
      </c>
      <c r="AD14" s="56">
        <v>1.7000000000000001E-2</v>
      </c>
    </row>
    <row r="15" spans="1:30" ht="24" customHeight="1">
      <c r="A15" s="5" t="s">
        <v>70</v>
      </c>
      <c r="B15" s="11">
        <v>1206148</v>
      </c>
      <c r="C15" s="11">
        <v>1192870</v>
      </c>
      <c r="D15" s="11">
        <v>1198958</v>
      </c>
      <c r="E15" s="11">
        <v>1170628</v>
      </c>
      <c r="F15" s="11">
        <v>1182467</v>
      </c>
      <c r="G15" s="11">
        <v>1111157</v>
      </c>
      <c r="H15" s="11">
        <v>1133802</v>
      </c>
      <c r="I15" s="11">
        <v>1109844</v>
      </c>
      <c r="J15" s="12">
        <v>1106700</v>
      </c>
      <c r="K15" s="13">
        <v>1118658</v>
      </c>
      <c r="L15" s="12">
        <v>1175804</v>
      </c>
      <c r="M15" s="13">
        <v>1172669</v>
      </c>
      <c r="N15" s="13">
        <v>1172380</v>
      </c>
      <c r="O15" s="13">
        <v>1098370</v>
      </c>
      <c r="P15" s="13">
        <v>1201247</v>
      </c>
      <c r="Q15" s="195">
        <v>1154598</v>
      </c>
      <c r="R15" s="191">
        <v>1153804</v>
      </c>
      <c r="S15" s="13">
        <v>1151516</v>
      </c>
      <c r="T15" s="13">
        <v>1158154</v>
      </c>
      <c r="U15" s="13">
        <v>1126094</v>
      </c>
      <c r="V15" s="13">
        <v>1085405</v>
      </c>
      <c r="W15" s="13">
        <v>1084787</v>
      </c>
      <c r="X15" s="13">
        <v>1056825</v>
      </c>
      <c r="Y15" s="13">
        <v>1048573</v>
      </c>
      <c r="Z15" s="13">
        <v>1174262</v>
      </c>
      <c r="AA15" s="51">
        <v>1135482</v>
      </c>
      <c r="AB15" s="51">
        <v>1124250</v>
      </c>
      <c r="AC15" s="51">
        <v>1126281</v>
      </c>
      <c r="AD15" s="51">
        <v>1105590</v>
      </c>
    </row>
    <row r="16" spans="1:30" ht="24" customHeight="1">
      <c r="A16" s="5" t="s">
        <v>71</v>
      </c>
      <c r="B16" s="36">
        <v>1.506</v>
      </c>
      <c r="C16" s="36">
        <v>1.53</v>
      </c>
      <c r="D16" s="36">
        <v>1.4179999999999999</v>
      </c>
      <c r="E16" s="36">
        <v>1.3859999999999999</v>
      </c>
      <c r="F16" s="36">
        <v>1.4670000000000001</v>
      </c>
      <c r="G16" s="36">
        <v>1.4470000000000001</v>
      </c>
      <c r="H16" s="36">
        <v>1.4350000000000001</v>
      </c>
      <c r="I16" s="36">
        <v>1.485596426987237</v>
      </c>
      <c r="J16" s="29">
        <v>1.4942352276562338</v>
      </c>
      <c r="K16" s="37">
        <v>1.4516546790901008</v>
      </c>
      <c r="L16" s="29">
        <v>1.2914098354359891</v>
      </c>
      <c r="M16" s="37">
        <v>1.2258644204804008</v>
      </c>
      <c r="N16" s="37">
        <v>1.179</v>
      </c>
      <c r="O16" s="37">
        <v>1.3029999999999999</v>
      </c>
      <c r="P16" s="37">
        <v>1.446</v>
      </c>
      <c r="Q16" s="194">
        <v>1.478</v>
      </c>
      <c r="R16" s="189">
        <v>1.4550000000000001</v>
      </c>
      <c r="S16" s="37">
        <v>1.49</v>
      </c>
      <c r="T16" s="37">
        <v>1.44</v>
      </c>
      <c r="U16" s="37">
        <v>1.482</v>
      </c>
      <c r="V16" s="37">
        <v>1.5309999999999999</v>
      </c>
      <c r="W16" s="37">
        <v>1.5820000000000001</v>
      </c>
      <c r="X16" s="37">
        <v>1.494</v>
      </c>
      <c r="Y16" s="37">
        <v>1.514</v>
      </c>
      <c r="Z16" s="56">
        <v>1.4359999999999999</v>
      </c>
      <c r="AA16" s="56">
        <v>1.4410000000000001</v>
      </c>
      <c r="AB16" s="56">
        <v>1.43</v>
      </c>
      <c r="AC16" s="56">
        <v>1.536</v>
      </c>
      <c r="AD16" s="56">
        <v>1.5209999999999999</v>
      </c>
    </row>
    <row r="17" spans="1:30" ht="24" customHeight="1">
      <c r="A17" s="5" t="s">
        <v>72</v>
      </c>
      <c r="B17" s="11">
        <v>998</v>
      </c>
      <c r="C17" s="11">
        <v>997</v>
      </c>
      <c r="D17" s="11">
        <v>998</v>
      </c>
      <c r="E17" s="11">
        <v>988</v>
      </c>
      <c r="F17" s="11">
        <v>1000</v>
      </c>
      <c r="G17" s="11">
        <v>1012</v>
      </c>
      <c r="H17" s="11">
        <v>1043</v>
      </c>
      <c r="I17" s="11">
        <v>1040</v>
      </c>
      <c r="J17" s="12">
        <v>1063</v>
      </c>
      <c r="K17" s="13">
        <v>1063</v>
      </c>
      <c r="L17" s="12">
        <v>1092</v>
      </c>
      <c r="M17" s="13">
        <v>1088</v>
      </c>
      <c r="N17" s="13">
        <v>1102</v>
      </c>
      <c r="O17" s="13">
        <v>1126</v>
      </c>
      <c r="P17" s="13">
        <v>1166</v>
      </c>
      <c r="Q17" s="195">
        <v>1162</v>
      </c>
      <c r="R17" s="191">
        <v>1178</v>
      </c>
      <c r="S17" s="13">
        <v>1183</v>
      </c>
      <c r="T17" s="13">
        <v>1179</v>
      </c>
      <c r="U17" s="13">
        <v>1165</v>
      </c>
      <c r="V17" s="13">
        <v>1209</v>
      </c>
      <c r="W17" s="13">
        <v>1233</v>
      </c>
      <c r="X17" s="13">
        <v>1252</v>
      </c>
      <c r="Y17" s="13">
        <v>1269</v>
      </c>
      <c r="Z17" s="51">
        <v>1308</v>
      </c>
      <c r="AA17" s="51">
        <v>1311</v>
      </c>
      <c r="AB17" s="51">
        <v>1297</v>
      </c>
      <c r="AC17" s="51">
        <v>1240</v>
      </c>
      <c r="AD17" s="51">
        <v>1261</v>
      </c>
    </row>
    <row r="18" spans="1:30" ht="12" customHeight="1"/>
    <row r="19" spans="1:30" ht="19.5" customHeight="1">
      <c r="A19" s="182" t="s">
        <v>129</v>
      </c>
      <c r="B19" s="182"/>
    </row>
    <row r="20" spans="1:30" ht="12" customHeight="1"/>
    <row r="21" spans="1:30" ht="18" customHeight="1">
      <c r="A21" s="77" t="s">
        <v>160</v>
      </c>
      <c r="B21" s="77"/>
    </row>
    <row r="22" spans="1:30" ht="18" customHeight="1">
      <c r="A22" s="77" t="s">
        <v>161</v>
      </c>
      <c r="B22" s="77"/>
    </row>
    <row r="23" spans="1:30" ht="18" customHeight="1">
      <c r="A23" s="77" t="s">
        <v>127</v>
      </c>
      <c r="B23" s="77"/>
    </row>
    <row r="24" spans="1:30" ht="18" customHeight="1">
      <c r="A24" s="77" t="s">
        <v>162</v>
      </c>
      <c r="B24" s="77"/>
      <c r="M24" s="124"/>
    </row>
    <row r="25" spans="1:30" ht="18" customHeight="1">
      <c r="A25" s="77" t="s">
        <v>128</v>
      </c>
      <c r="B25" s="77"/>
    </row>
    <row r="26" spans="1:30" ht="24" customHeight="1"/>
    <row r="27" spans="1:30" ht="24" customHeight="1">
      <c r="A27" s="123" t="s">
        <v>9</v>
      </c>
      <c r="B27" s="123"/>
    </row>
    <row r="28" spans="1:30" ht="24" customHeight="1"/>
    <row r="29" spans="1:30" ht="24" customHeight="1"/>
    <row r="31" spans="1:30" ht="41.25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zoomScale="90" zoomScaleNormal="90" zoomScaleSheetLayoutView="90" zoomScalePageLayoutView="128" workbookViewId="0">
      <selection activeCell="G35" sqref="G35"/>
    </sheetView>
  </sheetViews>
  <sheetFormatPr defaultColWidth="11.5546875" defaultRowHeight="15" outlineLevelRow="1"/>
  <cols>
    <col min="1" max="1" width="28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8" ht="24.75" customHeight="1">
      <c r="A1" s="80" t="s">
        <v>211</v>
      </c>
      <c r="B1" s="171" t="s">
        <v>101</v>
      </c>
      <c r="C1" s="170"/>
      <c r="D1" s="170"/>
      <c r="E1" s="170"/>
      <c r="F1" s="170"/>
      <c r="G1" s="171" t="s">
        <v>99</v>
      </c>
      <c r="H1" s="170"/>
    </row>
    <row r="2" spans="1:8" ht="24" customHeight="1">
      <c r="A2" s="150" t="s">
        <v>11</v>
      </c>
      <c r="B2" s="169" t="s">
        <v>98</v>
      </c>
      <c r="C2" s="169" t="s">
        <v>80</v>
      </c>
      <c r="D2" s="169" t="s">
        <v>81</v>
      </c>
      <c r="E2" s="169" t="s">
        <v>82</v>
      </c>
      <c r="F2" s="169" t="s">
        <v>83</v>
      </c>
      <c r="G2" s="169" t="s">
        <v>100</v>
      </c>
      <c r="H2" s="169" t="s">
        <v>56</v>
      </c>
    </row>
    <row r="3" spans="1:8" ht="24" customHeight="1">
      <c r="A3" s="38" t="s">
        <v>12</v>
      </c>
      <c r="B3" s="162">
        <v>3872</v>
      </c>
      <c r="C3" s="162">
        <v>4266</v>
      </c>
      <c r="D3" s="239">
        <v>139</v>
      </c>
      <c r="E3" s="162">
        <v>1362</v>
      </c>
      <c r="F3" s="239">
        <v>6</v>
      </c>
      <c r="G3" s="240">
        <v>-4</v>
      </c>
      <c r="H3" s="162">
        <f>SUM(B3:G3)</f>
        <v>9641</v>
      </c>
    </row>
    <row r="4" spans="1:8" ht="24" customHeight="1">
      <c r="A4" s="5" t="s">
        <v>114</v>
      </c>
      <c r="B4" s="31">
        <v>531</v>
      </c>
      <c r="C4" s="31">
        <v>499</v>
      </c>
      <c r="D4" s="31">
        <v>0</v>
      </c>
      <c r="E4" s="31">
        <v>2</v>
      </c>
      <c r="F4" s="31">
        <v>-8</v>
      </c>
      <c r="G4" s="43">
        <v>0</v>
      </c>
      <c r="H4" s="31">
        <f>SUM(B4:G4)</f>
        <v>1024</v>
      </c>
    </row>
    <row r="5" spans="1:8" ht="24" customHeight="1">
      <c r="A5" s="5" t="s">
        <v>14</v>
      </c>
      <c r="B5" s="31">
        <v>764</v>
      </c>
      <c r="C5" s="31">
        <v>223</v>
      </c>
      <c r="D5" s="31">
        <v>822</v>
      </c>
      <c r="E5" s="31">
        <v>-98</v>
      </c>
      <c r="F5" s="31">
        <v>32</v>
      </c>
      <c r="G5" s="43">
        <v>-52</v>
      </c>
      <c r="H5" s="31">
        <f>SUM(B5:G5)</f>
        <v>1691</v>
      </c>
    </row>
    <row r="6" spans="1:8" ht="24" customHeight="1">
      <c r="A6" s="5" t="s">
        <v>113</v>
      </c>
      <c r="B6" s="31">
        <v>121</v>
      </c>
      <c r="C6" s="31">
        <v>-13</v>
      </c>
      <c r="D6" s="31">
        <v>388</v>
      </c>
      <c r="E6" s="31">
        <v>1750</v>
      </c>
      <c r="F6" s="31">
        <v>2235</v>
      </c>
      <c r="G6" s="43">
        <v>-5</v>
      </c>
      <c r="H6" s="31">
        <f>SUM(B6:G6)</f>
        <v>4476</v>
      </c>
    </row>
    <row r="7" spans="1:8" ht="24" customHeight="1">
      <c r="A7" s="26" t="s">
        <v>75</v>
      </c>
      <c r="B7" s="27">
        <f>SUM(B3:B6)</f>
        <v>5288</v>
      </c>
      <c r="C7" s="27">
        <f t="shared" ref="C7:G7" si="0">SUM(C3:C6)</f>
        <v>4975</v>
      </c>
      <c r="D7" s="27">
        <f t="shared" si="0"/>
        <v>1349</v>
      </c>
      <c r="E7" s="27">
        <f t="shared" si="0"/>
        <v>3016</v>
      </c>
      <c r="F7" s="27">
        <f t="shared" si="0"/>
        <v>2265</v>
      </c>
      <c r="G7" s="27">
        <f t="shared" si="0"/>
        <v>-61</v>
      </c>
      <c r="H7" s="27">
        <f>SUM(H3:H6)</f>
        <v>16832</v>
      </c>
    </row>
    <row r="8" spans="1:8" ht="24" customHeight="1">
      <c r="A8" s="5" t="s">
        <v>20</v>
      </c>
      <c r="B8" s="31">
        <v>-1589</v>
      </c>
      <c r="C8" s="31">
        <v>-479</v>
      </c>
      <c r="D8" s="31">
        <v>-546</v>
      </c>
      <c r="E8" s="31">
        <v>-425</v>
      </c>
      <c r="F8" s="31">
        <v>-3017</v>
      </c>
      <c r="G8" s="43">
        <v>58</v>
      </c>
      <c r="H8" s="31">
        <f>SUM(B8:G8)</f>
        <v>-5998</v>
      </c>
    </row>
    <row r="9" spans="1:8" ht="24" hidden="1" customHeight="1" outlineLevel="1">
      <c r="A9" s="232" t="s">
        <v>21</v>
      </c>
      <c r="B9" s="235">
        <v>0</v>
      </c>
      <c r="C9" s="235">
        <v>0</v>
      </c>
      <c r="D9" s="235">
        <v>0</v>
      </c>
      <c r="E9" s="235">
        <v>0</v>
      </c>
      <c r="F9" s="235">
        <v>0</v>
      </c>
      <c r="G9" s="236">
        <v>0</v>
      </c>
      <c r="H9" s="235">
        <v>0</v>
      </c>
    </row>
    <row r="10" spans="1:8" ht="24" customHeight="1" collapsed="1">
      <c r="A10" s="26" t="s">
        <v>76</v>
      </c>
      <c r="B10" s="27">
        <f>SUM(B7:B8)</f>
        <v>3699</v>
      </c>
      <c r="C10" s="27">
        <f>SUM(C7:C8)</f>
        <v>4496</v>
      </c>
      <c r="D10" s="27">
        <f>SUM(D7:D8)</f>
        <v>803</v>
      </c>
      <c r="E10" s="27">
        <f t="shared" ref="E10:F10" si="1">SUM(E7:E8)</f>
        <v>2591</v>
      </c>
      <c r="F10" s="27">
        <f t="shared" si="1"/>
        <v>-752</v>
      </c>
      <c r="G10" s="27">
        <f>SUM(G7:G8)</f>
        <v>-3</v>
      </c>
      <c r="H10" s="27">
        <f>SUM(H7:H8)</f>
        <v>10834</v>
      </c>
    </row>
    <row r="11" spans="1:8" ht="24" customHeight="1">
      <c r="A11" s="5" t="s">
        <v>77</v>
      </c>
      <c r="B11" s="31">
        <v>-1219</v>
      </c>
      <c r="C11" s="31">
        <v>-743</v>
      </c>
      <c r="D11" s="31">
        <v>-373</v>
      </c>
      <c r="E11" s="31">
        <v>-205</v>
      </c>
      <c r="F11" s="31">
        <v>2540</v>
      </c>
      <c r="G11" s="43">
        <v>0</v>
      </c>
      <c r="H11" s="31">
        <v>0</v>
      </c>
    </row>
    <row r="12" spans="1:8" ht="24" customHeight="1">
      <c r="A12" s="25" t="s">
        <v>22</v>
      </c>
      <c r="B12" s="1">
        <f>SUM(B10:B11)</f>
        <v>2480</v>
      </c>
      <c r="C12" s="1">
        <f t="shared" ref="C12:H12" si="2">SUM(C10:C11)</f>
        <v>3753</v>
      </c>
      <c r="D12" s="1">
        <f t="shared" si="2"/>
        <v>430</v>
      </c>
      <c r="E12" s="1">
        <f t="shared" si="2"/>
        <v>2386</v>
      </c>
      <c r="F12" s="1">
        <f t="shared" si="2"/>
        <v>1788</v>
      </c>
      <c r="G12" s="1">
        <f t="shared" si="2"/>
        <v>-3</v>
      </c>
      <c r="H12" s="1">
        <f t="shared" si="2"/>
        <v>10834</v>
      </c>
    </row>
    <row r="13" spans="1:8" ht="24" customHeight="1" thickBot="1">
      <c r="A13" s="65"/>
      <c r="B13" s="181"/>
      <c r="C13" s="181"/>
      <c r="D13" s="181"/>
      <c r="E13" s="181"/>
      <c r="F13" s="181"/>
      <c r="G13" s="181"/>
      <c r="H13" s="181"/>
    </row>
    <row r="14" spans="1:8" ht="24" customHeight="1" thickTop="1">
      <c r="A14" s="2" t="s">
        <v>70</v>
      </c>
      <c r="B14" s="30">
        <v>434662</v>
      </c>
      <c r="C14" s="30">
        <v>504323</v>
      </c>
      <c r="D14" s="30">
        <v>16776</v>
      </c>
      <c r="E14" s="30">
        <v>466504</v>
      </c>
      <c r="F14" s="30">
        <v>13683</v>
      </c>
      <c r="G14" s="45">
        <v>-229800</v>
      </c>
      <c r="H14" s="30">
        <f>SUM(B14:G14)</f>
        <v>1206148</v>
      </c>
    </row>
    <row r="15" spans="1:8" ht="24" customHeight="1">
      <c r="A15" s="5" t="s">
        <v>78</v>
      </c>
      <c r="B15" s="31">
        <v>387206</v>
      </c>
      <c r="C15" s="31">
        <v>394179</v>
      </c>
      <c r="D15" s="31">
        <v>9396</v>
      </c>
      <c r="E15" s="31">
        <v>402883</v>
      </c>
      <c r="F15" s="31">
        <v>13683</v>
      </c>
      <c r="G15" s="43">
        <v>-229800</v>
      </c>
      <c r="H15" s="31">
        <f>SUM(B15:G15)</f>
        <v>977547</v>
      </c>
    </row>
    <row r="16" spans="1:8" ht="24" customHeight="1">
      <c r="A16" s="5" t="s">
        <v>79</v>
      </c>
      <c r="B16" s="31">
        <v>47456</v>
      </c>
      <c r="C16" s="31">
        <v>110144</v>
      </c>
      <c r="D16" s="31">
        <v>7380</v>
      </c>
      <c r="E16" s="31">
        <v>63621</v>
      </c>
      <c r="F16" s="46">
        <v>0</v>
      </c>
      <c r="G16" s="42">
        <v>0</v>
      </c>
      <c r="H16" s="31">
        <f>SUM(B16:G16)</f>
        <v>228601</v>
      </c>
    </row>
    <row r="17" spans="1:1" ht="24" customHeight="1"/>
    <row r="18" spans="1:1" ht="24" customHeight="1">
      <c r="A18" s="123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zoomScale="80" zoomScaleNormal="80" zoomScaleSheetLayoutView="90" zoomScalePageLayoutView="128" workbookViewId="0">
      <selection activeCell="L24" sqref="L24"/>
    </sheetView>
  </sheetViews>
  <sheetFormatPr defaultColWidth="11.5546875" defaultRowHeight="15"/>
  <cols>
    <col min="1" max="1" width="37.77734375" style="58" customWidth="1"/>
    <col min="2" max="14" width="11.5546875" style="58"/>
    <col min="15" max="15" width="17.6640625" style="58" customWidth="1"/>
    <col min="16" max="16384" width="11.5546875" style="58"/>
  </cols>
  <sheetData>
    <row r="1" spans="1:10" ht="33" customHeight="1">
      <c r="A1" s="82" t="s">
        <v>165</v>
      </c>
      <c r="B1" s="171"/>
      <c r="C1" s="170"/>
      <c r="D1" s="170"/>
      <c r="E1" s="170"/>
      <c r="F1" s="170"/>
      <c r="G1" s="171"/>
      <c r="H1" s="170"/>
    </row>
    <row r="2" spans="1:10" ht="9.75" customHeight="1">
      <c r="A2" s="150"/>
      <c r="B2" s="169"/>
      <c r="C2" s="169"/>
      <c r="D2" s="169"/>
      <c r="E2" s="169"/>
      <c r="F2" s="169"/>
      <c r="G2" s="169"/>
      <c r="H2" s="169"/>
    </row>
    <row r="3" spans="1:10" ht="9.75" customHeight="1"/>
    <row r="4" spans="1:10" ht="24" customHeight="1" thickBot="1">
      <c r="A4" s="148" t="s">
        <v>165</v>
      </c>
      <c r="B4" s="148" t="s">
        <v>166</v>
      </c>
      <c r="C4" s="91"/>
      <c r="D4" s="91"/>
      <c r="E4" s="91"/>
      <c r="F4" s="140"/>
      <c r="G4" s="140"/>
      <c r="H4" s="140"/>
    </row>
    <row r="5" spans="1:10" ht="20.25" customHeight="1" thickTop="1">
      <c r="A5" s="94" t="s">
        <v>66</v>
      </c>
      <c r="B5" s="94" t="s">
        <v>167</v>
      </c>
      <c r="C5" s="94"/>
      <c r="D5" s="94"/>
      <c r="E5" s="94"/>
      <c r="F5" s="94"/>
      <c r="G5" s="94"/>
      <c r="H5" s="94"/>
    </row>
    <row r="6" spans="1:10" ht="5.25" customHeight="1">
      <c r="A6" s="94"/>
      <c r="B6" s="94"/>
      <c r="C6" s="94"/>
      <c r="D6" s="94"/>
      <c r="E6" s="94"/>
      <c r="F6" s="94"/>
      <c r="G6" s="94"/>
      <c r="H6" s="94"/>
    </row>
    <row r="7" spans="1:10" ht="20.25" customHeight="1">
      <c r="A7" s="94" t="s">
        <v>67</v>
      </c>
      <c r="B7" s="94" t="s">
        <v>168</v>
      </c>
      <c r="C7" s="94"/>
      <c r="D7" s="94"/>
      <c r="E7" s="94"/>
      <c r="F7" s="94"/>
      <c r="G7" s="94"/>
      <c r="H7" s="94"/>
    </row>
    <row r="8" spans="1:10" ht="5.25" customHeight="1">
      <c r="A8" s="94"/>
      <c r="B8" s="94"/>
      <c r="C8" s="94"/>
      <c r="D8" s="94"/>
      <c r="E8" s="94"/>
      <c r="F8" s="94"/>
      <c r="G8" s="94"/>
      <c r="H8" s="94"/>
    </row>
    <row r="9" spans="1:10" ht="20.25" customHeight="1">
      <c r="A9" s="94" t="s">
        <v>169</v>
      </c>
      <c r="B9" s="94" t="s">
        <v>170</v>
      </c>
      <c r="C9" s="94"/>
      <c r="D9" s="94"/>
      <c r="E9" s="94"/>
      <c r="F9" s="94"/>
      <c r="G9" s="94"/>
      <c r="H9" s="94"/>
      <c r="I9" s="222"/>
      <c r="J9" s="90"/>
    </row>
    <row r="10" spans="1:10" ht="5.25" customHeight="1">
      <c r="A10" s="94"/>
      <c r="B10" s="94"/>
      <c r="C10" s="94"/>
      <c r="D10" s="94"/>
      <c r="E10" s="94"/>
      <c r="F10" s="94"/>
      <c r="G10" s="94"/>
      <c r="H10" s="94"/>
      <c r="I10" s="220"/>
      <c r="J10" s="90"/>
    </row>
    <row r="11" spans="1:10" ht="20.25" customHeight="1">
      <c r="A11" s="94" t="s">
        <v>218</v>
      </c>
      <c r="B11" s="94" t="s">
        <v>215</v>
      </c>
      <c r="C11" s="94"/>
      <c r="D11" s="94"/>
      <c r="E11" s="94"/>
      <c r="F11" s="94"/>
      <c r="G11" s="94"/>
      <c r="H11" s="94"/>
      <c r="I11" s="223"/>
      <c r="J11" s="90"/>
    </row>
    <row r="12" spans="1:10" ht="5.25" customHeight="1">
      <c r="A12" s="94"/>
      <c r="B12" s="94"/>
      <c r="C12" s="94"/>
      <c r="D12" s="94"/>
      <c r="E12" s="94"/>
      <c r="F12" s="94"/>
      <c r="G12" s="94"/>
      <c r="H12" s="94"/>
      <c r="I12" s="222"/>
      <c r="J12" s="90"/>
    </row>
    <row r="13" spans="1:10" ht="21" customHeight="1">
      <c r="A13" s="94" t="s">
        <v>185</v>
      </c>
      <c r="B13" s="94" t="s">
        <v>214</v>
      </c>
      <c r="C13" s="94"/>
      <c r="D13" s="94"/>
      <c r="E13" s="94"/>
      <c r="F13" s="94"/>
      <c r="G13" s="94"/>
      <c r="H13" s="94"/>
    </row>
    <row r="14" spans="1:10" ht="5.25" customHeight="1">
      <c r="A14" s="94"/>
      <c r="B14" s="94"/>
      <c r="C14" s="94"/>
      <c r="D14" s="94"/>
      <c r="E14" s="94"/>
      <c r="F14" s="94"/>
      <c r="G14" s="94"/>
      <c r="H14" s="94"/>
      <c r="I14" s="222"/>
      <c r="J14" s="90"/>
    </row>
    <row r="15" spans="1:10" ht="20.25" customHeight="1">
      <c r="A15" s="94" t="s">
        <v>171</v>
      </c>
      <c r="B15" s="94" t="s">
        <v>172</v>
      </c>
      <c r="C15" s="94"/>
      <c r="D15" s="94"/>
      <c r="E15" s="94"/>
      <c r="F15" s="94"/>
      <c r="G15" s="94"/>
      <c r="H15" s="94"/>
      <c r="I15" s="223"/>
      <c r="J15" s="90"/>
    </row>
    <row r="16" spans="1:10" ht="5.25" customHeight="1">
      <c r="A16" s="94"/>
      <c r="B16" s="94"/>
      <c r="C16" s="94"/>
      <c r="D16" s="94"/>
      <c r="E16" s="94"/>
      <c r="F16" s="94"/>
      <c r="G16" s="94"/>
      <c r="H16" s="94"/>
      <c r="I16" s="223"/>
      <c r="J16" s="90"/>
    </row>
    <row r="17" spans="1:10" ht="20.25" customHeight="1">
      <c r="A17" s="94" t="s">
        <v>190</v>
      </c>
      <c r="B17" s="94" t="s">
        <v>192</v>
      </c>
      <c r="C17" s="94"/>
      <c r="D17" s="94"/>
      <c r="E17" s="94"/>
      <c r="F17" s="94"/>
      <c r="G17" s="94"/>
      <c r="H17" s="94"/>
      <c r="I17" s="223"/>
      <c r="J17" s="90"/>
    </row>
    <row r="18" spans="1:10" ht="17.25" customHeight="1">
      <c r="A18" s="94" t="s">
        <v>191</v>
      </c>
      <c r="B18" s="94" t="s">
        <v>3</v>
      </c>
      <c r="C18" s="94"/>
      <c r="D18" s="94"/>
      <c r="E18" s="94"/>
      <c r="F18" s="94"/>
      <c r="G18" s="94"/>
      <c r="H18" s="94"/>
      <c r="I18" s="223"/>
      <c r="J18" s="90"/>
    </row>
    <row r="19" spans="1:10" ht="5.25" customHeight="1">
      <c r="A19" s="94"/>
      <c r="B19" s="94"/>
      <c r="C19" s="94"/>
      <c r="D19" s="94"/>
      <c r="E19" s="94"/>
      <c r="F19" s="94"/>
      <c r="G19" s="94"/>
      <c r="H19" s="94"/>
      <c r="I19" s="219"/>
      <c r="J19" s="90"/>
    </row>
    <row r="20" spans="1:10" ht="21" customHeight="1">
      <c r="A20" s="94" t="s">
        <v>152</v>
      </c>
      <c r="B20" s="94" t="s">
        <v>173</v>
      </c>
      <c r="C20" s="94"/>
      <c r="D20" s="94"/>
      <c r="E20" s="94"/>
      <c r="F20" s="94"/>
      <c r="G20" s="94"/>
      <c r="H20" s="94"/>
      <c r="I20" s="222"/>
      <c r="J20" s="90"/>
    </row>
    <row r="21" spans="1:10" ht="5.25" customHeight="1">
      <c r="A21" s="94"/>
      <c r="B21" s="94"/>
      <c r="C21" s="94"/>
      <c r="D21" s="94"/>
      <c r="E21" s="94"/>
      <c r="F21" s="94"/>
      <c r="G21" s="94"/>
      <c r="H21" s="94"/>
      <c r="I21" s="222"/>
      <c r="J21" s="90"/>
    </row>
    <row r="22" spans="1:10" ht="21" customHeight="1">
      <c r="A22" s="224" t="s">
        <v>174</v>
      </c>
      <c r="B22" s="94" t="s">
        <v>175</v>
      </c>
      <c r="C22" s="94"/>
      <c r="D22" s="94"/>
      <c r="E22" s="94"/>
      <c r="F22" s="94"/>
      <c r="G22" s="94"/>
      <c r="H22" s="94"/>
      <c r="I22" s="220"/>
      <c r="J22" s="90"/>
    </row>
    <row r="23" spans="1:10" ht="5.25" customHeight="1">
      <c r="A23" s="94"/>
      <c r="B23" s="94"/>
      <c r="C23" s="94"/>
      <c r="D23" s="94"/>
      <c r="E23" s="94"/>
      <c r="F23" s="94"/>
      <c r="G23" s="94"/>
      <c r="H23" s="94"/>
      <c r="I23" s="90"/>
      <c r="J23" s="90"/>
    </row>
    <row r="24" spans="1:10" ht="20.25" customHeight="1">
      <c r="A24" s="94" t="s">
        <v>176</v>
      </c>
      <c r="B24" s="94" t="s">
        <v>177</v>
      </c>
      <c r="C24" s="94"/>
      <c r="D24" s="94"/>
      <c r="E24" s="94"/>
      <c r="F24" s="94"/>
      <c r="G24" s="94"/>
      <c r="H24" s="94"/>
      <c r="I24" s="90"/>
      <c r="J24" s="90"/>
    </row>
    <row r="25" spans="1:10" ht="5.25" customHeight="1">
      <c r="A25" s="94"/>
      <c r="B25" s="94"/>
      <c r="C25" s="94"/>
      <c r="D25" s="94"/>
      <c r="E25" s="94"/>
      <c r="F25" s="94"/>
      <c r="G25" s="94"/>
      <c r="H25" s="94"/>
      <c r="I25" s="90"/>
      <c r="J25" s="90"/>
    </row>
    <row r="26" spans="1:10" ht="20.25" customHeight="1">
      <c r="A26" s="94" t="s">
        <v>194</v>
      </c>
      <c r="B26" s="94" t="s">
        <v>195</v>
      </c>
      <c r="C26" s="94"/>
      <c r="D26" s="94"/>
      <c r="E26" s="94"/>
      <c r="F26" s="94"/>
      <c r="G26" s="94"/>
      <c r="H26" s="94"/>
    </row>
    <row r="27" spans="1:10" ht="5.25" customHeight="1">
      <c r="A27" s="94"/>
      <c r="B27" s="94"/>
      <c r="C27" s="94"/>
      <c r="D27" s="94"/>
      <c r="E27" s="94"/>
      <c r="F27" s="94"/>
      <c r="G27" s="94"/>
      <c r="H27" s="94"/>
    </row>
    <row r="28" spans="1:10" ht="21" customHeight="1">
      <c r="A28" s="94" t="s">
        <v>178</v>
      </c>
      <c r="B28" s="94" t="s">
        <v>207</v>
      </c>
      <c r="C28" s="94"/>
      <c r="D28" s="94"/>
      <c r="E28" s="94"/>
      <c r="F28" s="94"/>
      <c r="G28" s="94"/>
      <c r="H28" s="94"/>
    </row>
    <row r="29" spans="1:10" ht="5.25" customHeight="1">
      <c r="A29" s="94"/>
      <c r="B29" s="94"/>
      <c r="C29" s="94"/>
      <c r="D29" s="94"/>
      <c r="E29" s="94"/>
      <c r="F29" s="94"/>
      <c r="G29" s="94"/>
      <c r="H29" s="94"/>
    </row>
    <row r="30" spans="1:10" ht="21" customHeight="1">
      <c r="A30" s="94" t="s">
        <v>179</v>
      </c>
      <c r="B30" s="94" t="s">
        <v>180</v>
      </c>
      <c r="C30" s="94"/>
      <c r="D30" s="94"/>
      <c r="E30" s="94"/>
      <c r="F30" s="94"/>
      <c r="G30" s="94"/>
      <c r="H30" s="94"/>
    </row>
    <row r="31" spans="1:10" ht="5.25" customHeight="1">
      <c r="A31" s="94"/>
      <c r="B31" s="94"/>
      <c r="C31" s="94"/>
      <c r="D31" s="94"/>
      <c r="E31" s="94"/>
      <c r="F31" s="94"/>
      <c r="G31" s="94"/>
      <c r="H31" s="94"/>
    </row>
    <row r="32" spans="1:10" ht="21.75" customHeight="1">
      <c r="A32" s="94" t="s">
        <v>181</v>
      </c>
      <c r="B32" s="94" t="s">
        <v>182</v>
      </c>
      <c r="C32" s="94"/>
      <c r="D32" s="94"/>
      <c r="E32" s="94"/>
      <c r="F32" s="94"/>
      <c r="G32" s="94"/>
      <c r="H32" s="94"/>
    </row>
    <row r="33" spans="1:8" ht="5.25" customHeight="1">
      <c r="A33" s="94"/>
      <c r="B33" s="94"/>
      <c r="C33" s="94"/>
      <c r="D33" s="94"/>
      <c r="E33" s="94"/>
      <c r="F33" s="94"/>
      <c r="G33" s="94"/>
      <c r="H33" s="94"/>
    </row>
    <row r="34" spans="1:8" ht="21" customHeight="1">
      <c r="A34" s="94" t="s">
        <v>183</v>
      </c>
      <c r="B34" s="94" t="s">
        <v>184</v>
      </c>
      <c r="C34" s="94"/>
      <c r="D34" s="94"/>
      <c r="E34" s="94"/>
      <c r="F34" s="94"/>
      <c r="G34" s="94"/>
      <c r="H34" s="94"/>
    </row>
    <row r="35" spans="1:8" ht="5.25" customHeight="1">
      <c r="A35" s="94"/>
      <c r="B35" s="94"/>
      <c r="C35" s="94"/>
      <c r="D35" s="94"/>
      <c r="E35" s="94"/>
      <c r="F35" s="94"/>
      <c r="G35" s="94"/>
      <c r="H35" s="94"/>
    </row>
    <row r="36" spans="1:8" ht="21" customHeight="1">
      <c r="A36" s="94" t="s">
        <v>198</v>
      </c>
      <c r="B36" s="94" t="s">
        <v>208</v>
      </c>
      <c r="C36" s="94"/>
      <c r="D36" s="94"/>
      <c r="E36" s="94"/>
      <c r="F36" s="94"/>
      <c r="G36" s="94"/>
      <c r="H36" s="94"/>
    </row>
    <row r="37" spans="1:8" ht="5.25" customHeight="1">
      <c r="A37" s="94"/>
      <c r="B37" s="282" t="s">
        <v>216</v>
      </c>
      <c r="C37" s="282"/>
      <c r="D37" s="282"/>
      <c r="E37" s="282"/>
      <c r="F37" s="282"/>
      <c r="G37" s="282"/>
      <c r="H37" s="282"/>
    </row>
    <row r="38" spans="1:8" ht="20.25" customHeight="1">
      <c r="A38" s="94" t="s">
        <v>199</v>
      </c>
      <c r="B38" s="282"/>
      <c r="C38" s="282"/>
      <c r="D38" s="282"/>
      <c r="E38" s="282"/>
      <c r="F38" s="282"/>
      <c r="G38" s="282"/>
      <c r="H38" s="282"/>
    </row>
    <row r="39" spans="1:8" ht="5.25" customHeight="1">
      <c r="A39" s="94"/>
      <c r="B39" s="94"/>
      <c r="C39" s="94"/>
      <c r="D39" s="94"/>
      <c r="E39" s="94"/>
      <c r="F39" s="94"/>
      <c r="G39" s="94"/>
      <c r="H39" s="94"/>
    </row>
    <row r="40" spans="1:8" ht="21" customHeight="1">
      <c r="A40" s="94" t="s">
        <v>186</v>
      </c>
      <c r="B40" s="94" t="s">
        <v>217</v>
      </c>
      <c r="C40" s="94"/>
      <c r="D40" s="94"/>
      <c r="E40" s="94"/>
      <c r="F40" s="94"/>
      <c r="G40" s="94"/>
      <c r="H40" s="94"/>
    </row>
    <row r="41" spans="1:8" ht="5.25" customHeight="1">
      <c r="A41" s="94"/>
      <c r="B41" s="94"/>
      <c r="C41" s="94"/>
      <c r="D41" s="94"/>
      <c r="E41" s="94"/>
      <c r="F41" s="94"/>
      <c r="G41" s="94"/>
      <c r="H41" s="94"/>
    </row>
    <row r="42" spans="1:8" ht="21" customHeight="1">
      <c r="A42" s="94" t="s">
        <v>187</v>
      </c>
      <c r="B42" s="94" t="s">
        <v>188</v>
      </c>
      <c r="C42" s="94"/>
      <c r="D42" s="94"/>
      <c r="E42" s="94"/>
      <c r="F42" s="94"/>
      <c r="G42" s="94"/>
      <c r="H42" s="94"/>
    </row>
    <row r="44" spans="1:8" ht="6.75" customHeight="1"/>
    <row r="45" spans="1:8" ht="15.75">
      <c r="A45" s="123" t="s">
        <v>9</v>
      </c>
    </row>
  </sheetData>
  <mergeCells count="1">
    <mergeCell ref="B37:H38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zoomScale="86" zoomScaleNormal="80" zoomScaleSheetLayoutView="86" workbookViewId="0">
      <selection activeCell="A9" sqref="A9"/>
    </sheetView>
  </sheetViews>
  <sheetFormatPr defaultRowHeight="15"/>
  <cols>
    <col min="1" max="1" width="8.88671875" style="58"/>
    <col min="2" max="2" width="8.88671875" style="58" customWidth="1"/>
    <col min="3" max="14" width="8.88671875" style="58"/>
    <col min="15" max="15" width="17.6640625" style="58" customWidth="1"/>
    <col min="16" max="16384" width="8.88671875" style="58"/>
  </cols>
  <sheetData>
    <row r="1" spans="1:12" ht="24.75" customHeight="1">
      <c r="A1" s="82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4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5.75" thickBo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75" thickTop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>
      <c r="A5" s="66" t="s">
        <v>90</v>
      </c>
    </row>
    <row r="6" spans="1:12">
      <c r="A6" s="66"/>
    </row>
    <row r="7" spans="1:12">
      <c r="A7" s="66" t="s">
        <v>89</v>
      </c>
    </row>
    <row r="8" spans="1:12">
      <c r="A8" s="66"/>
    </row>
    <row r="9" spans="1:12">
      <c r="A9" s="66" t="s">
        <v>135</v>
      </c>
    </row>
    <row r="10" spans="1:12">
      <c r="A10" s="66"/>
    </row>
    <row r="11" spans="1:12">
      <c r="A11" s="66" t="s">
        <v>108</v>
      </c>
    </row>
    <row r="12" spans="1:12">
      <c r="A12" s="66"/>
    </row>
    <row r="13" spans="1:12">
      <c r="A13" s="66" t="s">
        <v>109</v>
      </c>
    </row>
    <row r="14" spans="1:12">
      <c r="A14" s="66"/>
    </row>
    <row r="15" spans="1:12">
      <c r="A15" s="66" t="s">
        <v>110</v>
      </c>
    </row>
    <row r="16" spans="1:12">
      <c r="A16" s="66"/>
    </row>
    <row r="17" spans="1:12">
      <c r="A17" s="66" t="s">
        <v>115</v>
      </c>
    </row>
    <row r="18" spans="1:12">
      <c r="A18" s="66"/>
    </row>
    <row r="19" spans="1:12">
      <c r="A19" s="66" t="s">
        <v>111</v>
      </c>
    </row>
    <row r="20" spans="1:12">
      <c r="A20" s="66"/>
    </row>
    <row r="21" spans="1:12">
      <c r="A21" s="66" t="s">
        <v>112</v>
      </c>
    </row>
    <row r="22" spans="1:12">
      <c r="A22" s="66"/>
    </row>
    <row r="23" spans="1:12">
      <c r="A23" s="66" t="s">
        <v>84</v>
      </c>
    </row>
    <row r="24" spans="1:12">
      <c r="A24" s="66"/>
    </row>
    <row r="25" spans="1:12">
      <c r="A25" s="66" t="s">
        <v>165</v>
      </c>
    </row>
    <row r="26" spans="1:12" ht="15.75" thickBo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workbookViewId="0">
      <selection activeCell="D29" sqref="D29"/>
    </sheetView>
  </sheetViews>
  <sheetFormatPr defaultRowHeight="15"/>
  <cols>
    <col min="1" max="1" width="8.88671875" style="58" customWidth="1"/>
    <col min="2" max="5" width="8.88671875" style="58"/>
    <col min="6" max="6" width="8.88671875" style="58" customWidth="1"/>
    <col min="7" max="14" width="8.88671875" style="58"/>
    <col min="15" max="15" width="17.6640625" style="58" customWidth="1"/>
    <col min="16" max="16384" width="8.88671875" style="58"/>
  </cols>
  <sheetData>
    <row r="1" spans="1:12" ht="24.75" customHeight="1">
      <c r="A1" s="12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4.7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2" ht="35.25" customHeight="1">
      <c r="A4" s="280" t="s">
        <v>102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</row>
    <row r="5" spans="1:12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2" ht="36" customHeight="1">
      <c r="A6" s="280" t="s">
        <v>103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1:12">
      <c r="A7" s="175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</row>
    <row r="8" spans="1:12" ht="54" customHeight="1">
      <c r="A8" s="280" t="s">
        <v>104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</row>
    <row r="9" spans="1:12">
      <c r="A9" s="176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</row>
    <row r="10" spans="1:12" ht="18" customHeight="1">
      <c r="A10" s="280" t="s">
        <v>105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</row>
    <row r="11" spans="1:12">
      <c r="A11" s="175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</row>
    <row r="12" spans="1:12" ht="36" customHeight="1">
      <c r="A12" s="280" t="s">
        <v>106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</row>
    <row r="13" spans="1:12">
      <c r="A13" s="66"/>
    </row>
    <row r="14" spans="1:12" ht="24.75" customHeight="1"/>
    <row r="15" spans="1:12" ht="24.75" customHeight="1"/>
    <row r="16" spans="1:12" ht="24.75" customHeight="1">
      <c r="A16" s="123" t="s">
        <v>9</v>
      </c>
      <c r="B16" s="122"/>
      <c r="C16" s="122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workbookViewId="0">
      <selection activeCell="K32" sqref="K32"/>
    </sheetView>
  </sheetViews>
  <sheetFormatPr defaultRowHeight="15"/>
  <cols>
    <col min="1" max="7" width="8.88671875" style="58"/>
    <col min="8" max="8" width="8.88671875" style="58" customWidth="1"/>
    <col min="9" max="11" width="8.88671875" style="58"/>
    <col min="12" max="12" width="10.88671875" style="58" customWidth="1"/>
    <col min="13" max="14" width="8.88671875" style="58"/>
    <col min="15" max="15" width="17.6640625" style="58" customWidth="1"/>
    <col min="16" max="16384" width="8.88671875" style="58"/>
  </cols>
  <sheetData>
    <row r="1" spans="1:14" ht="24.75" customHeight="1">
      <c r="A1" s="82" t="s">
        <v>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24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4" ht="36" customHeight="1">
      <c r="A4" s="282" t="s">
        <v>92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4" ht="24.75" customHeight="1"/>
    <row r="6" spans="1:14" ht="24.75" customHeight="1" thickBot="1">
      <c r="A6" s="148" t="s">
        <v>94</v>
      </c>
      <c r="B6" s="149"/>
      <c r="C6" s="91"/>
      <c r="D6" s="91"/>
      <c r="E6" s="91"/>
      <c r="F6" s="140"/>
      <c r="G6" s="140"/>
      <c r="H6" s="140"/>
      <c r="I6" s="148" t="s">
        <v>93</v>
      </c>
      <c r="J6" s="140"/>
      <c r="K6" s="140"/>
      <c r="L6" s="140"/>
    </row>
    <row r="7" spans="1:14" ht="24.75" customHeight="1" thickTop="1">
      <c r="A7" s="139"/>
    </row>
    <row r="8" spans="1:14" ht="24.75" customHeight="1">
      <c r="A8" s="94" t="s">
        <v>7</v>
      </c>
      <c r="C8" s="94"/>
      <c r="D8" s="95"/>
      <c r="E8" s="95"/>
      <c r="F8" s="95"/>
      <c r="G8" s="95"/>
      <c r="H8" s="95"/>
      <c r="I8" s="146" t="s">
        <v>200</v>
      </c>
      <c r="J8" s="147"/>
      <c r="K8" s="147"/>
      <c r="M8" s="95"/>
      <c r="N8" s="95"/>
    </row>
    <row r="9" spans="1:14" ht="24.75" customHeight="1">
      <c r="A9" s="94" t="s">
        <v>96</v>
      </c>
      <c r="C9" s="94"/>
      <c r="I9" s="146" t="s">
        <v>201</v>
      </c>
      <c r="J9" s="147"/>
      <c r="K9" s="147"/>
    </row>
    <row r="10" spans="1:14" ht="24.75" customHeight="1">
      <c r="C10" s="94"/>
      <c r="I10" s="146" t="s">
        <v>202</v>
      </c>
      <c r="J10" s="147"/>
      <c r="K10" s="147"/>
    </row>
    <row r="11" spans="1:14" ht="24.75" customHeight="1">
      <c r="A11" s="94" t="s">
        <v>212</v>
      </c>
      <c r="I11" s="146" t="s">
        <v>203</v>
      </c>
      <c r="J11" s="147"/>
      <c r="K11" s="147"/>
    </row>
    <row r="12" spans="1:14" ht="24.75" customHeight="1">
      <c r="A12" s="94" t="s">
        <v>213</v>
      </c>
    </row>
    <row r="13" spans="1:14" ht="24.75" customHeight="1">
      <c r="I13" s="145" t="s">
        <v>97</v>
      </c>
      <c r="J13" s="147"/>
      <c r="K13" s="147"/>
    </row>
    <row r="14" spans="1:14" ht="24.75" customHeight="1">
      <c r="A14" s="146" t="s">
        <v>6</v>
      </c>
    </row>
    <row r="15" spans="1:14" ht="24.75" customHeight="1">
      <c r="I15" s="145"/>
    </row>
    <row r="16" spans="1:14" ht="24.75" customHeight="1">
      <c r="A16" s="144" t="s">
        <v>95</v>
      </c>
      <c r="B16" s="120"/>
      <c r="C16" s="120"/>
      <c r="D16" s="120"/>
      <c r="E16" s="120"/>
    </row>
    <row r="17" spans="1:3" ht="24.75" customHeight="1"/>
    <row r="18" spans="1:3" ht="24.75" customHeight="1"/>
    <row r="19" spans="1:3" ht="24.75" customHeight="1">
      <c r="A19" s="123" t="s">
        <v>9</v>
      </c>
      <c r="B19" s="122"/>
      <c r="C19" s="122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3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topLeftCell="A4" zoomScale="80" zoomScaleNormal="80" zoomScalePageLayoutView="70" workbookViewId="0"/>
  </sheetViews>
  <sheetFormatPr defaultRowHeight="14.25"/>
  <cols>
    <col min="1" max="1" width="10.5546875" style="244" customWidth="1"/>
    <col min="2" max="5" width="8.88671875" style="244"/>
    <col min="6" max="6" width="10.33203125" style="244" customWidth="1"/>
    <col min="7" max="7" width="3.88671875" style="244" customWidth="1"/>
    <col min="8" max="8" width="27.88671875" style="244" customWidth="1"/>
    <col min="9" max="10" width="9.21875" style="244" customWidth="1"/>
    <col min="11" max="12" width="8.88671875" style="244" customWidth="1"/>
    <col min="13" max="13" width="4.33203125" style="244" customWidth="1"/>
    <col min="14" max="16384" width="8.88671875" style="244"/>
  </cols>
  <sheetData>
    <row r="1" spans="1:12" ht="69.75" customHeight="1">
      <c r="A1" s="242" t="s">
        <v>135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21.75" customHeight="1">
      <c r="A2" s="245">
        <v>43190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29.25" customHeight="1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 ht="18">
      <c r="A4" s="247" t="s">
        <v>136</v>
      </c>
      <c r="B4" s="248"/>
      <c r="C4" s="248"/>
      <c r="D4" s="249"/>
      <c r="E4" s="249"/>
      <c r="F4" s="249"/>
      <c r="G4" s="250"/>
      <c r="H4" s="247" t="s">
        <v>137</v>
      </c>
      <c r="I4" s="251">
        <v>43190</v>
      </c>
      <c r="J4" s="251">
        <v>43100</v>
      </c>
      <c r="K4" s="251">
        <v>43190</v>
      </c>
      <c r="L4" s="251">
        <v>43100</v>
      </c>
    </row>
    <row r="5" spans="1:12" ht="12.75" customHeight="1">
      <c r="A5" s="249"/>
      <c r="B5" s="249"/>
      <c r="C5" s="249"/>
      <c r="D5" s="249"/>
      <c r="E5" s="249"/>
      <c r="F5" s="249"/>
      <c r="G5" s="250"/>
      <c r="H5" s="247"/>
      <c r="I5" s="284" t="s">
        <v>138</v>
      </c>
      <c r="J5" s="284"/>
      <c r="K5" s="284" t="s">
        <v>139</v>
      </c>
      <c r="L5" s="284"/>
    </row>
    <row r="6" spans="1:12">
      <c r="A6" s="252"/>
      <c r="B6" s="252"/>
      <c r="C6" s="252"/>
      <c r="D6" s="252"/>
      <c r="E6" s="252"/>
      <c r="F6" s="252"/>
      <c r="G6" s="252"/>
      <c r="H6" s="253" t="s">
        <v>140</v>
      </c>
      <c r="I6" s="254">
        <v>1206148</v>
      </c>
      <c r="J6" s="254">
        <v>1192870</v>
      </c>
      <c r="K6" s="254">
        <f>+I6/'[1]Töluleg gögn'!$M$7</f>
        <v>9927.1440329218112</v>
      </c>
      <c r="L6" s="254">
        <f>+J6/'[1]Töluleg gögn'!$K$7</f>
        <v>9600.5633802816901</v>
      </c>
    </row>
    <row r="7" spans="1:12">
      <c r="A7" s="252"/>
      <c r="B7" s="252"/>
      <c r="C7" s="252"/>
      <c r="D7" s="252"/>
      <c r="E7" s="252"/>
      <c r="F7" s="252"/>
      <c r="G7" s="252"/>
      <c r="H7" s="253" t="s">
        <v>53</v>
      </c>
      <c r="I7" s="254">
        <v>936636</v>
      </c>
      <c r="J7" s="254">
        <v>925636</v>
      </c>
      <c r="K7" s="254">
        <f>+I7/'[1]Töluleg gögn'!$M$7</f>
        <v>7708.9382716049386</v>
      </c>
      <c r="L7" s="254">
        <f>+J7/'[1]Töluleg gögn'!$K$7</f>
        <v>7449.7867203219312</v>
      </c>
    </row>
    <row r="8" spans="1:12">
      <c r="A8" s="252"/>
      <c r="B8" s="252"/>
      <c r="C8" s="252"/>
      <c r="D8" s="252"/>
      <c r="E8" s="252"/>
      <c r="F8" s="252"/>
      <c r="G8" s="252"/>
      <c r="H8" s="253" t="s">
        <v>141</v>
      </c>
      <c r="I8" s="254">
        <v>41796</v>
      </c>
      <c r="J8" s="254">
        <v>44866</v>
      </c>
      <c r="K8" s="254">
        <f>+I8/'[1]Töluleg gögn'!$M$7</f>
        <v>344</v>
      </c>
      <c r="L8" s="254">
        <f>+J8/'[1]Töluleg gögn'!$K$7</f>
        <v>361.09456740442658</v>
      </c>
    </row>
    <row r="9" spans="1:12">
      <c r="A9" s="252"/>
      <c r="B9" s="252"/>
      <c r="C9" s="252"/>
      <c r="D9" s="252"/>
      <c r="E9" s="252"/>
      <c r="F9" s="252"/>
      <c r="G9" s="252"/>
      <c r="H9" s="253" t="s">
        <v>142</v>
      </c>
      <c r="I9" s="254">
        <v>100216</v>
      </c>
      <c r="J9" s="254">
        <v>117310</v>
      </c>
      <c r="K9" s="254">
        <f>+I9/'[1]Töluleg gögn'!$M$7</f>
        <v>824.82304526748976</v>
      </c>
      <c r="L9" s="254">
        <f>+J9/'[1]Töluleg gögn'!$K$7</f>
        <v>944.14486921529181</v>
      </c>
    </row>
    <row r="10" spans="1:12">
      <c r="A10" s="252"/>
      <c r="B10" s="252"/>
      <c r="C10" s="252"/>
      <c r="D10" s="252"/>
      <c r="E10" s="252"/>
      <c r="F10" s="252"/>
      <c r="G10" s="252"/>
      <c r="H10" s="255" t="s">
        <v>51</v>
      </c>
      <c r="I10" s="256">
        <v>25666</v>
      </c>
      <c r="J10" s="256">
        <v>27980</v>
      </c>
      <c r="K10" s="256">
        <f>+I10/'[1]Töluleg gögn'!$M$7</f>
        <v>211.24279835390948</v>
      </c>
      <c r="L10" s="256">
        <f>+J10/'[1]Töluleg gögn'!$K$7</f>
        <v>225.19114688128772</v>
      </c>
    </row>
    <row r="11" spans="1:12">
      <c r="A11" s="252"/>
      <c r="B11" s="252"/>
      <c r="C11" s="252"/>
      <c r="D11" s="252"/>
      <c r="E11" s="252"/>
      <c r="F11" s="252"/>
      <c r="G11" s="252"/>
      <c r="H11" s="253" t="s">
        <v>58</v>
      </c>
      <c r="I11" s="254">
        <v>622021</v>
      </c>
      <c r="J11" s="254">
        <v>605158</v>
      </c>
      <c r="K11" s="254">
        <f>+I11/'[1]Töluleg gögn'!$M$7</f>
        <v>5119.5144032921808</v>
      </c>
      <c r="L11" s="254">
        <f>+J11/'[1]Töluleg gögn'!$K$7</f>
        <v>4870.4869215291747</v>
      </c>
    </row>
    <row r="12" spans="1:12">
      <c r="A12" s="246"/>
      <c r="B12" s="246"/>
      <c r="C12" s="246"/>
      <c r="D12" s="246"/>
      <c r="E12" s="246"/>
      <c r="F12" s="246"/>
      <c r="G12" s="252"/>
      <c r="H12" s="253" t="s">
        <v>57</v>
      </c>
      <c r="I12" s="254">
        <v>30943</v>
      </c>
      <c r="J12" s="254">
        <v>32062</v>
      </c>
      <c r="K12" s="254">
        <f>+I12/'[1]Töluleg gögn'!$M$7</f>
        <v>254.67489711934155</v>
      </c>
      <c r="L12" s="254">
        <f>+J12/'[1]Töluleg gögn'!$K$7</f>
        <v>258.04426559356136</v>
      </c>
    </row>
    <row r="13" spans="1:12">
      <c r="A13" s="246"/>
      <c r="B13" s="246"/>
      <c r="C13" s="246"/>
      <c r="D13" s="246"/>
      <c r="E13" s="246"/>
      <c r="F13" s="246"/>
      <c r="G13" s="252"/>
      <c r="H13" s="253" t="s">
        <v>59</v>
      </c>
      <c r="I13" s="254">
        <v>284484</v>
      </c>
      <c r="J13" s="254">
        <v>281874</v>
      </c>
      <c r="K13" s="254">
        <f>+I13/'[1]Töluleg gögn'!$M$7</f>
        <v>2341.4320987654319</v>
      </c>
      <c r="L13" s="254">
        <f>+J13/'[1]Töluleg gögn'!$K$7</f>
        <v>2268.6036217303822</v>
      </c>
    </row>
    <row r="14" spans="1:12">
      <c r="A14" s="246"/>
      <c r="B14" s="246"/>
      <c r="C14" s="246"/>
      <c r="D14" s="246"/>
      <c r="E14" s="246"/>
      <c r="F14" s="246"/>
      <c r="G14" s="252"/>
      <c r="H14" s="255" t="s">
        <v>63</v>
      </c>
      <c r="I14" s="257">
        <v>228601</v>
      </c>
      <c r="J14" s="257">
        <v>246057</v>
      </c>
      <c r="K14" s="257">
        <f>+I14/'[1]Töluleg gögn'!$M$7</f>
        <v>1881.4897119341563</v>
      </c>
      <c r="L14" s="257">
        <f>+J14/'[1]Töluleg gögn'!$K$7</f>
        <v>1980.338028169014</v>
      </c>
    </row>
    <row r="15" spans="1:12">
      <c r="A15" s="246"/>
      <c r="B15" s="246"/>
      <c r="C15" s="246"/>
      <c r="D15" s="246"/>
      <c r="E15" s="246"/>
      <c r="F15" s="246"/>
      <c r="G15" s="252"/>
      <c r="H15" s="258" t="s">
        <v>143</v>
      </c>
      <c r="I15" s="259">
        <v>0.247</v>
      </c>
      <c r="J15" s="259">
        <v>0.26700000000000002</v>
      </c>
      <c r="K15" s="260"/>
      <c r="L15" s="260"/>
    </row>
    <row r="16" spans="1:12">
      <c r="A16" s="246"/>
      <c r="B16" s="246"/>
      <c r="C16" s="246"/>
      <c r="D16" s="246"/>
      <c r="E16" s="246"/>
      <c r="F16" s="246"/>
      <c r="G16" s="252"/>
      <c r="H16" s="261" t="s">
        <v>144</v>
      </c>
      <c r="I16" s="259">
        <v>1.506</v>
      </c>
      <c r="J16" s="259">
        <v>1.53</v>
      </c>
      <c r="K16" s="260"/>
      <c r="L16" s="260"/>
    </row>
    <row r="17" spans="1:15">
      <c r="A17" s="246"/>
      <c r="B17" s="246"/>
      <c r="C17" s="246"/>
      <c r="D17" s="246"/>
      <c r="E17" s="246"/>
      <c r="F17" s="246"/>
      <c r="G17" s="252"/>
      <c r="H17" s="246"/>
      <c r="I17" s="246"/>
      <c r="J17" s="262"/>
      <c r="K17" s="263"/>
      <c r="L17" s="264"/>
      <c r="M17" s="265"/>
      <c r="N17" s="265"/>
      <c r="O17" s="265"/>
    </row>
    <row r="18" spans="1:15" ht="36.75" customHeight="1">
      <c r="A18" s="246"/>
      <c r="B18" s="246"/>
      <c r="C18" s="246"/>
      <c r="D18" s="246"/>
      <c r="E18" s="246"/>
      <c r="F18" s="246"/>
      <c r="G18" s="252"/>
      <c r="H18" s="246"/>
      <c r="I18" s="246"/>
      <c r="J18" s="246"/>
      <c r="K18" s="246"/>
      <c r="L18" s="246"/>
    </row>
    <row r="19" spans="1:15" ht="18">
      <c r="A19" s="247" t="s">
        <v>145</v>
      </c>
      <c r="B19" s="248"/>
      <c r="C19" s="248"/>
      <c r="D19" s="248"/>
      <c r="E19" s="248"/>
      <c r="F19" s="266">
        <v>43190</v>
      </c>
      <c r="G19" s="252"/>
      <c r="H19" s="247" t="s">
        <v>146</v>
      </c>
      <c r="I19" s="267">
        <v>43190</v>
      </c>
      <c r="J19" s="267">
        <v>42825</v>
      </c>
      <c r="K19" s="267">
        <v>43190</v>
      </c>
      <c r="L19" s="267">
        <v>42825</v>
      </c>
    </row>
    <row r="20" spans="1:15" ht="18">
      <c r="A20" s="247"/>
      <c r="B20" s="247"/>
      <c r="C20" s="247"/>
      <c r="D20" s="247"/>
      <c r="E20" s="247"/>
      <c r="F20" s="247"/>
      <c r="G20" s="252"/>
      <c r="H20" s="247"/>
      <c r="I20" s="284" t="s">
        <v>138</v>
      </c>
      <c r="J20" s="284"/>
      <c r="K20" s="284" t="s">
        <v>139</v>
      </c>
      <c r="L20" s="284"/>
    </row>
    <row r="21" spans="1:15">
      <c r="A21" s="246"/>
      <c r="B21" s="246"/>
      <c r="C21" s="246"/>
      <c r="D21" s="246"/>
      <c r="E21" s="246"/>
      <c r="F21" s="246"/>
      <c r="G21" s="252"/>
      <c r="H21" s="246"/>
      <c r="I21" s="268"/>
      <c r="J21" s="268"/>
      <c r="K21" s="268"/>
      <c r="L21" s="268"/>
    </row>
    <row r="22" spans="1:15">
      <c r="A22" s="253" t="s">
        <v>147</v>
      </c>
      <c r="B22" s="269"/>
      <c r="C22" s="269"/>
      <c r="D22" s="269"/>
      <c r="E22" s="269"/>
      <c r="F22" s="254">
        <v>123300</v>
      </c>
      <c r="G22" s="252"/>
      <c r="H22" s="253" t="s">
        <v>148</v>
      </c>
      <c r="I22" s="254">
        <v>16832</v>
      </c>
      <c r="J22" s="254">
        <v>15713</v>
      </c>
      <c r="K22" s="254">
        <f>+I22/'[1]Töluleg gögn'!M8</f>
        <v>136.22531563612819</v>
      </c>
      <c r="L22" s="254">
        <f>+J22/'[1]Töluleg gögn'!N8</f>
        <v>131.53356772141302</v>
      </c>
      <c r="M22" s="270"/>
    </row>
    <row r="23" spans="1:15">
      <c r="A23" s="253" t="s">
        <v>149</v>
      </c>
      <c r="B23" s="269"/>
      <c r="C23" s="269"/>
      <c r="D23" s="269"/>
      <c r="E23" s="269"/>
      <c r="F23" s="254">
        <v>13603</v>
      </c>
      <c r="G23" s="252"/>
      <c r="H23" s="253" t="s">
        <v>65</v>
      </c>
      <c r="I23" s="254">
        <v>8102</v>
      </c>
      <c r="J23" s="254">
        <v>7576</v>
      </c>
      <c r="K23" s="254">
        <f>+I23/'[1]Töluleg gögn'!M8</f>
        <v>65.571382324376813</v>
      </c>
      <c r="L23" s="254">
        <f>+J23/'[1]Töluleg gögn'!N8</f>
        <v>63.418717562363973</v>
      </c>
      <c r="M23" s="270"/>
    </row>
    <row r="24" spans="1:15">
      <c r="A24" s="253" t="s">
        <v>150</v>
      </c>
      <c r="B24" s="269"/>
      <c r="C24" s="269"/>
      <c r="D24" s="269"/>
      <c r="E24" s="269"/>
      <c r="F24" s="254">
        <v>37</v>
      </c>
      <c r="G24" s="252"/>
      <c r="H24" s="253" t="s">
        <v>67</v>
      </c>
      <c r="I24" s="271">
        <v>0.13700000000000001</v>
      </c>
      <c r="J24" s="271">
        <v>0.125</v>
      </c>
      <c r="K24" s="271"/>
      <c r="L24" s="271"/>
      <c r="M24" s="270"/>
    </row>
    <row r="25" spans="1:15">
      <c r="A25" s="258" t="s">
        <v>151</v>
      </c>
      <c r="B25" s="272"/>
      <c r="C25" s="272"/>
      <c r="D25" s="272"/>
      <c r="E25" s="272"/>
      <c r="F25" s="254">
        <v>998</v>
      </c>
      <c r="G25" s="252"/>
      <c r="H25" s="253" t="s">
        <v>152</v>
      </c>
      <c r="I25" s="273">
        <v>2.7E-2</v>
      </c>
      <c r="J25" s="273">
        <v>2.1999999999999999E-2</v>
      </c>
      <c r="K25" s="274"/>
      <c r="L25" s="274"/>
      <c r="M25" s="270"/>
    </row>
    <row r="26" spans="1:15">
      <c r="A26" s="252"/>
      <c r="B26" s="252"/>
      <c r="C26" s="252"/>
      <c r="D26" s="252"/>
      <c r="E26" s="252"/>
      <c r="F26" s="252"/>
      <c r="G26" s="252"/>
      <c r="H26" s="253" t="s">
        <v>153</v>
      </c>
      <c r="I26" s="271">
        <v>0.379</v>
      </c>
      <c r="J26" s="271">
        <v>0.42499999999999999</v>
      </c>
      <c r="K26" s="271"/>
      <c r="L26" s="274"/>
      <c r="M26" s="270"/>
    </row>
    <row r="27" spans="1:15">
      <c r="A27" s="252"/>
      <c r="B27" s="252"/>
      <c r="C27" s="252"/>
      <c r="D27" s="252"/>
      <c r="E27" s="252"/>
      <c r="F27" s="252"/>
      <c r="G27" s="252"/>
      <c r="H27" s="246"/>
      <c r="I27" s="268"/>
      <c r="J27" s="268"/>
      <c r="K27" s="268"/>
      <c r="L27" s="268"/>
    </row>
    <row r="28" spans="1:15" ht="31.5" customHeight="1">
      <c r="A28" s="252"/>
      <c r="B28" s="252"/>
      <c r="C28" s="252"/>
      <c r="D28" s="252"/>
      <c r="E28" s="252"/>
      <c r="F28" s="252"/>
      <c r="G28" s="252"/>
      <c r="H28" s="246"/>
      <c r="I28" s="246"/>
      <c r="J28" s="246"/>
      <c r="K28" s="246"/>
      <c r="L28" s="246"/>
    </row>
    <row r="29" spans="1:15" ht="18">
      <c r="A29" s="247" t="s">
        <v>154</v>
      </c>
      <c r="B29" s="248"/>
      <c r="C29" s="248"/>
      <c r="D29" s="248"/>
      <c r="E29" s="248"/>
      <c r="F29" s="248"/>
      <c r="G29" s="252"/>
      <c r="H29" s="247" t="s">
        <v>155</v>
      </c>
      <c r="I29" s="275"/>
      <c r="J29" s="275"/>
      <c r="K29" s="275"/>
      <c r="L29" s="275"/>
    </row>
    <row r="30" spans="1:15" ht="18.75">
      <c r="A30" s="247"/>
      <c r="B30" s="247"/>
      <c r="C30" s="247"/>
      <c r="D30" s="247"/>
      <c r="E30" s="247"/>
      <c r="F30" s="247"/>
      <c r="G30" s="252"/>
      <c r="H30" s="247"/>
      <c r="I30" s="247"/>
      <c r="J30" s="247"/>
      <c r="K30" s="247"/>
      <c r="L30" s="247"/>
      <c r="M30" s="276"/>
    </row>
    <row r="31" spans="1:15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</row>
    <row r="32" spans="1:15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</row>
    <row r="33" spans="1:12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</row>
    <row r="35" spans="1:12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</row>
    <row r="36" spans="1:12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</row>
    <row r="37" spans="1:12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</row>
    <row r="38" spans="1:12">
      <c r="A38" s="252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</row>
    <row r="39" spans="1:1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</row>
    <row r="40" spans="1:12">
      <c r="A40" s="246"/>
      <c r="B40" s="246"/>
      <c r="C40" s="246"/>
      <c r="D40" s="246"/>
      <c r="E40" s="246"/>
      <c r="F40" s="246"/>
      <c r="G40" s="252"/>
      <c r="H40" s="252"/>
      <c r="I40" s="252"/>
      <c r="J40" s="252"/>
      <c r="K40" s="252"/>
      <c r="L40" s="252"/>
    </row>
    <row r="41" spans="1:12">
      <c r="A41" s="246"/>
      <c r="B41" s="246"/>
      <c r="C41" s="246"/>
      <c r="D41" s="246"/>
      <c r="E41" s="246"/>
      <c r="F41" s="246"/>
      <c r="G41" s="252"/>
      <c r="H41" s="252"/>
      <c r="I41" s="252"/>
      <c r="J41" s="252"/>
      <c r="K41" s="252"/>
      <c r="L41" s="252"/>
    </row>
    <row r="42" spans="1:12">
      <c r="A42" s="246"/>
      <c r="B42" s="246"/>
      <c r="C42" s="246"/>
      <c r="D42" s="246"/>
      <c r="E42" s="246"/>
      <c r="F42" s="246"/>
      <c r="G42" s="252"/>
      <c r="H42" s="252"/>
      <c r="I42" s="252"/>
      <c r="J42" s="252"/>
      <c r="K42" s="252"/>
      <c r="L42" s="252"/>
    </row>
    <row r="43" spans="1:12">
      <c r="A43" s="246"/>
      <c r="B43" s="246"/>
      <c r="C43" s="246"/>
      <c r="D43" s="246"/>
      <c r="E43" s="246"/>
      <c r="F43" s="246"/>
      <c r="G43" s="252"/>
      <c r="H43" s="246"/>
      <c r="I43" s="246"/>
      <c r="J43" s="246"/>
      <c r="K43" s="246"/>
      <c r="L43" s="246"/>
    </row>
    <row r="44" spans="1:12">
      <c r="A44" s="246"/>
      <c r="B44" s="246"/>
      <c r="C44" s="246"/>
      <c r="D44" s="246"/>
      <c r="E44" s="246"/>
      <c r="F44" s="246"/>
      <c r="G44" s="252"/>
      <c r="H44" s="246"/>
      <c r="I44" s="246"/>
      <c r="J44" s="246"/>
      <c r="K44" s="246"/>
      <c r="L44" s="246"/>
    </row>
    <row r="45" spans="1:12">
      <c r="A45" s="246"/>
      <c r="B45" s="246"/>
      <c r="C45" s="246"/>
      <c r="D45" s="246"/>
      <c r="E45" s="246"/>
      <c r="F45" s="246"/>
      <c r="G45" s="252"/>
      <c r="H45" s="252"/>
      <c r="I45" s="252"/>
      <c r="J45" s="252"/>
      <c r="K45" s="252"/>
      <c r="L45" s="252"/>
    </row>
    <row r="46" spans="1:12" ht="39" customHeight="1">
      <c r="A46" s="246"/>
      <c r="B46" s="246"/>
      <c r="C46" s="246"/>
      <c r="D46" s="246"/>
      <c r="E46" s="246"/>
      <c r="F46" s="246"/>
      <c r="G46" s="252"/>
      <c r="H46" s="252"/>
      <c r="I46" s="252"/>
      <c r="J46" s="252"/>
      <c r="K46" s="252"/>
      <c r="L46" s="252"/>
    </row>
    <row r="47" spans="1:12" ht="18">
      <c r="A47" s="247" t="s">
        <v>156</v>
      </c>
      <c r="B47" s="248"/>
      <c r="C47" s="248"/>
      <c r="D47" s="248"/>
      <c r="E47" s="248"/>
      <c r="F47" s="248"/>
      <c r="G47" s="252"/>
      <c r="H47" s="247" t="s">
        <v>143</v>
      </c>
      <c r="I47" s="275"/>
      <c r="J47" s="275"/>
      <c r="K47" s="275"/>
      <c r="L47" s="275"/>
    </row>
    <row r="48" spans="1:12" ht="18">
      <c r="A48" s="247"/>
      <c r="B48" s="247"/>
      <c r="C48" s="247"/>
      <c r="D48" s="247"/>
      <c r="E48" s="247"/>
      <c r="F48" s="247"/>
      <c r="G48" s="252"/>
      <c r="H48" s="247"/>
      <c r="I48" s="284"/>
      <c r="J48" s="284"/>
      <c r="K48" s="284"/>
      <c r="L48" s="284"/>
    </row>
    <row r="49" spans="1:12">
      <c r="A49" s="246"/>
      <c r="B49" s="246"/>
      <c r="C49" s="246"/>
      <c r="D49" s="246"/>
      <c r="E49" s="246"/>
      <c r="F49" s="246"/>
      <c r="G49" s="252"/>
      <c r="H49" s="252"/>
      <c r="I49" s="252"/>
      <c r="J49" s="252"/>
      <c r="K49" s="252"/>
      <c r="L49" s="252"/>
    </row>
    <row r="50" spans="1:12">
      <c r="A50" s="246"/>
      <c r="B50" s="246"/>
      <c r="C50" s="246"/>
      <c r="D50" s="246"/>
      <c r="E50" s="246"/>
      <c r="F50" s="246"/>
      <c r="G50" s="252"/>
      <c r="H50" s="252"/>
      <c r="I50" s="252"/>
      <c r="J50" s="252"/>
      <c r="K50" s="252"/>
      <c r="L50" s="252"/>
    </row>
    <row r="51" spans="1:12">
      <c r="A51" s="246"/>
      <c r="B51" s="246"/>
      <c r="C51" s="246"/>
      <c r="D51" s="246"/>
      <c r="E51" s="246"/>
      <c r="F51" s="246"/>
      <c r="G51" s="252"/>
      <c r="H51" s="252"/>
      <c r="I51" s="252"/>
      <c r="J51" s="252"/>
      <c r="K51" s="252"/>
      <c r="L51" s="252"/>
    </row>
    <row r="52" spans="1:12">
      <c r="A52" s="246"/>
      <c r="B52" s="246"/>
      <c r="C52" s="246"/>
      <c r="D52" s="246"/>
      <c r="E52" s="246"/>
      <c r="F52" s="246"/>
      <c r="G52" s="252"/>
      <c r="H52" s="252"/>
      <c r="I52" s="252"/>
      <c r="J52" s="252"/>
      <c r="K52" s="252"/>
      <c r="L52" s="252"/>
    </row>
    <row r="53" spans="1:12">
      <c r="A53" s="246"/>
      <c r="B53" s="246"/>
      <c r="C53" s="246"/>
      <c r="D53" s="246"/>
      <c r="E53" s="246"/>
      <c r="F53" s="246"/>
      <c r="G53" s="252"/>
      <c r="H53" s="252"/>
      <c r="I53" s="252"/>
      <c r="J53" s="252"/>
      <c r="K53" s="252"/>
      <c r="L53" s="252"/>
    </row>
    <row r="54" spans="1:12">
      <c r="A54" s="246"/>
      <c r="B54" s="246"/>
      <c r="C54" s="246"/>
      <c r="D54" s="246"/>
      <c r="E54" s="246"/>
      <c r="F54" s="246"/>
      <c r="G54" s="252"/>
      <c r="H54" s="252"/>
      <c r="I54" s="252"/>
      <c r="J54" s="252"/>
      <c r="K54" s="252"/>
      <c r="L54" s="252"/>
    </row>
    <row r="55" spans="1:12">
      <c r="A55" s="246"/>
      <c r="B55" s="246"/>
      <c r="C55" s="246"/>
      <c r="D55" s="246"/>
      <c r="E55" s="246"/>
      <c r="F55" s="246"/>
      <c r="G55" s="252"/>
      <c r="H55" s="252"/>
      <c r="I55" s="252"/>
      <c r="J55" s="252"/>
      <c r="K55" s="252"/>
      <c r="L55" s="252"/>
    </row>
    <row r="56" spans="1:12" ht="18">
      <c r="A56" s="246"/>
      <c r="B56" s="246"/>
      <c r="C56" s="246"/>
      <c r="D56" s="246"/>
      <c r="E56" s="246"/>
      <c r="F56" s="246"/>
      <c r="G56" s="252"/>
      <c r="H56" s="277"/>
      <c r="I56" s="278"/>
      <c r="J56" s="278"/>
      <c r="K56" s="278"/>
      <c r="L56" s="278"/>
    </row>
    <row r="57" spans="1:12">
      <c r="A57" s="246"/>
      <c r="B57" s="246"/>
      <c r="C57" s="246"/>
      <c r="D57" s="246"/>
      <c r="E57" s="246"/>
      <c r="F57" s="246"/>
      <c r="G57" s="252"/>
      <c r="H57" s="252"/>
      <c r="I57" s="252"/>
      <c r="J57" s="252"/>
      <c r="K57" s="252"/>
      <c r="L57" s="252"/>
    </row>
    <row r="58" spans="1:12">
      <c r="A58" s="246"/>
      <c r="B58" s="246"/>
      <c r="C58" s="246"/>
      <c r="D58" s="246"/>
      <c r="E58" s="246"/>
      <c r="F58" s="246"/>
      <c r="G58" s="246"/>
      <c r="H58" s="252"/>
      <c r="I58" s="252"/>
      <c r="J58" s="252"/>
      <c r="K58" s="252"/>
      <c r="L58" s="252"/>
    </row>
    <row r="59" spans="1:12">
      <c r="A59" s="246"/>
      <c r="B59" s="246"/>
      <c r="C59" s="246"/>
      <c r="D59" s="246"/>
      <c r="E59" s="246"/>
      <c r="F59" s="246"/>
      <c r="G59" s="246"/>
      <c r="H59" s="252"/>
      <c r="I59" s="252"/>
      <c r="J59" s="252"/>
      <c r="K59" s="252"/>
      <c r="L59" s="252"/>
    </row>
    <row r="60" spans="1:12">
      <c r="A60" s="246"/>
      <c r="B60" s="246"/>
      <c r="C60" s="246"/>
      <c r="D60" s="246"/>
      <c r="E60" s="246"/>
      <c r="F60" s="246"/>
      <c r="G60" s="246"/>
      <c r="H60" s="252"/>
      <c r="I60" s="252"/>
      <c r="J60" s="252"/>
      <c r="K60" s="252"/>
      <c r="L60" s="252"/>
    </row>
    <row r="61" spans="1:12">
      <c r="A61" s="246"/>
      <c r="B61" s="246"/>
      <c r="C61" s="246"/>
      <c r="D61" s="246"/>
      <c r="E61" s="246"/>
      <c r="F61" s="246"/>
      <c r="G61" s="246"/>
      <c r="H61" s="252"/>
      <c r="I61" s="252"/>
      <c r="J61" s="252"/>
      <c r="K61" s="252"/>
      <c r="L61" s="252"/>
    </row>
    <row r="62" spans="1:1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ht="15">
      <c r="A63" s="279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2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</row>
    <row r="65" spans="1:12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</row>
    <row r="66" spans="1:12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</row>
    <row r="67" spans="1:12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</row>
    <row r="68" spans="1:12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</row>
    <row r="69" spans="1:12" ht="15.75">
      <c r="A69" s="238" t="s">
        <v>9</v>
      </c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</row>
    <row r="70" spans="1:12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</row>
    <row r="71" spans="1:12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</row>
    <row r="72" spans="1:12">
      <c r="A72" s="246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</row>
    <row r="73" spans="1:12">
      <c r="A73" s="246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</row>
    <row r="74" spans="1:12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</row>
    <row r="75" spans="1:12">
      <c r="A75" s="246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9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0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O33"/>
  <sheetViews>
    <sheetView view="pageBreakPreview" topLeftCell="A12" zoomScale="110" zoomScaleNormal="80" zoomScaleSheetLayoutView="110" zoomScalePageLayoutView="120" workbookViewId="0">
      <selection activeCell="F42" sqref="F42"/>
    </sheetView>
  </sheetViews>
  <sheetFormatPr defaultColWidth="11.5546875" defaultRowHeight="15" outlineLevelRow="1"/>
  <cols>
    <col min="1" max="1" width="32.109375" style="58" customWidth="1"/>
    <col min="2" max="2" width="9" style="58" customWidth="1"/>
    <col min="3" max="11" width="8.77734375" style="58" customWidth="1"/>
    <col min="12" max="12" width="11.44140625" style="58" customWidth="1"/>
    <col min="13" max="14" width="11.5546875" style="58"/>
    <col min="15" max="15" width="17.6640625" style="58" customWidth="1"/>
    <col min="16" max="16384" width="11.5546875" style="58"/>
  </cols>
  <sheetData>
    <row r="1" spans="1:13" ht="24.75" customHeight="1">
      <c r="A1" s="80" t="s">
        <v>91</v>
      </c>
      <c r="B1" s="80"/>
      <c r="C1" s="81"/>
      <c r="D1" s="81"/>
      <c r="E1" s="81"/>
      <c r="F1" s="81"/>
      <c r="G1" s="81"/>
      <c r="H1" s="81"/>
      <c r="I1" s="81"/>
      <c r="J1" s="81"/>
      <c r="K1" s="81"/>
    </row>
    <row r="2" spans="1:13" ht="24.75" customHeight="1">
      <c r="A2" s="150" t="s">
        <v>11</v>
      </c>
      <c r="B2" s="151" t="s">
        <v>204</v>
      </c>
      <c r="C2" s="151">
        <v>2016</v>
      </c>
      <c r="D2" s="151">
        <v>2015</v>
      </c>
      <c r="E2" s="151">
        <v>2014</v>
      </c>
      <c r="F2" s="151">
        <v>2013</v>
      </c>
      <c r="G2" s="151">
        <v>2012</v>
      </c>
      <c r="H2" s="151">
        <v>2011</v>
      </c>
      <c r="I2" s="151">
        <v>2010</v>
      </c>
      <c r="J2" s="151">
        <v>2009</v>
      </c>
      <c r="K2" s="151" t="s">
        <v>8</v>
      </c>
      <c r="L2" s="61"/>
    </row>
    <row r="3" spans="1:13" ht="24.75" customHeight="1">
      <c r="A3" s="38" t="s">
        <v>12</v>
      </c>
      <c r="B3" s="39">
        <v>36271</v>
      </c>
      <c r="C3" s="39">
        <v>34650</v>
      </c>
      <c r="D3" s="39">
        <v>32324</v>
      </c>
      <c r="E3" s="40">
        <v>28073</v>
      </c>
      <c r="F3" s="40">
        <v>34314</v>
      </c>
      <c r="G3" s="40">
        <v>35584</v>
      </c>
      <c r="H3" s="40">
        <v>32649</v>
      </c>
      <c r="I3" s="40">
        <v>24685</v>
      </c>
      <c r="J3" s="40">
        <v>28105</v>
      </c>
      <c r="K3" s="215">
        <v>4291</v>
      </c>
      <c r="L3" s="61"/>
    </row>
    <row r="4" spans="1:13" ht="24.75" customHeight="1">
      <c r="A4" s="5" t="s">
        <v>196</v>
      </c>
      <c r="B4" s="7">
        <v>1785</v>
      </c>
      <c r="C4" s="7">
        <v>-318</v>
      </c>
      <c r="D4" s="7">
        <v>18216</v>
      </c>
      <c r="E4" s="6">
        <v>20128</v>
      </c>
      <c r="F4" s="6">
        <v>13053</v>
      </c>
      <c r="G4" s="6">
        <v>-4391</v>
      </c>
      <c r="H4" s="6">
        <v>-23587</v>
      </c>
      <c r="I4" s="6">
        <v>641</v>
      </c>
      <c r="J4" s="6">
        <v>-6577</v>
      </c>
      <c r="K4" s="198">
        <v>-1256</v>
      </c>
      <c r="L4" s="61"/>
    </row>
    <row r="5" spans="1:13" ht="24.75" customHeight="1">
      <c r="A5" s="26" t="s">
        <v>13</v>
      </c>
      <c r="B5" s="152">
        <f>+B3+B4</f>
        <v>38056</v>
      </c>
      <c r="C5" s="152">
        <v>34332</v>
      </c>
      <c r="D5" s="152">
        <v>50540</v>
      </c>
      <c r="E5" s="28">
        <v>48201</v>
      </c>
      <c r="F5" s="28">
        <v>47367</v>
      </c>
      <c r="G5" s="28">
        <v>31193</v>
      </c>
      <c r="H5" s="28">
        <v>9062</v>
      </c>
      <c r="I5" s="28">
        <v>25326</v>
      </c>
      <c r="J5" s="28">
        <v>21528</v>
      </c>
      <c r="K5" s="216">
        <v>3035</v>
      </c>
      <c r="L5" s="61"/>
    </row>
    <row r="6" spans="1:13" ht="15" customHeight="1" thickBot="1">
      <c r="A6" s="62"/>
      <c r="B6" s="32"/>
      <c r="C6" s="32"/>
      <c r="D6" s="32"/>
      <c r="E6" s="32"/>
      <c r="F6" s="32"/>
      <c r="G6" s="32"/>
      <c r="H6" s="32"/>
      <c r="I6" s="32"/>
      <c r="J6" s="32"/>
      <c r="K6" s="32"/>
      <c r="L6" s="219"/>
    </row>
    <row r="7" spans="1:13" ht="24.75" customHeight="1" thickTop="1">
      <c r="A7" s="2" t="s">
        <v>14</v>
      </c>
      <c r="B7" s="4">
        <v>8431</v>
      </c>
      <c r="C7" s="4">
        <v>7809</v>
      </c>
      <c r="D7" s="4">
        <v>6841</v>
      </c>
      <c r="E7" s="3">
        <v>5836</v>
      </c>
      <c r="F7" s="3">
        <v>5291</v>
      </c>
      <c r="G7" s="3">
        <v>4448</v>
      </c>
      <c r="H7" s="3">
        <v>4423</v>
      </c>
      <c r="I7" s="3">
        <v>3582</v>
      </c>
      <c r="J7" s="3">
        <v>4213</v>
      </c>
      <c r="K7" s="199">
        <v>987</v>
      </c>
      <c r="L7" s="61"/>
    </row>
    <row r="8" spans="1:13" ht="24.75" customHeight="1">
      <c r="A8" s="5" t="s">
        <v>158</v>
      </c>
      <c r="B8" s="41">
        <v>-1375</v>
      </c>
      <c r="C8" s="41">
        <v>-179</v>
      </c>
      <c r="D8" s="41">
        <v>-1277</v>
      </c>
      <c r="E8" s="42">
        <v>67</v>
      </c>
      <c r="F8" s="43">
        <v>1147</v>
      </c>
      <c r="G8" s="43">
        <v>4566</v>
      </c>
      <c r="H8" s="43">
        <v>-759</v>
      </c>
      <c r="I8" s="43">
        <v>14623</v>
      </c>
      <c r="J8" s="43">
        <v>-2814</v>
      </c>
      <c r="K8" s="217">
        <v>32583</v>
      </c>
      <c r="L8" s="61"/>
      <c r="M8" s="58" t="s">
        <v>3</v>
      </c>
    </row>
    <row r="9" spans="1:13" ht="24.75" customHeight="1">
      <c r="A9" s="5" t="s">
        <v>113</v>
      </c>
      <c r="B9" s="41">
        <f>5802+2598</f>
        <v>8400</v>
      </c>
      <c r="C9" s="41">
        <f>6255+483</f>
        <v>6738</v>
      </c>
      <c r="D9" s="41">
        <f>16259+248</f>
        <v>16507</v>
      </c>
      <c r="E9" s="43">
        <f>9045+465</f>
        <v>9510</v>
      </c>
      <c r="F9" s="43">
        <f>11776+2712</f>
        <v>14488</v>
      </c>
      <c r="G9" s="43">
        <f>8934+2449</f>
        <v>11383</v>
      </c>
      <c r="H9" s="43">
        <f>18018+1417</f>
        <v>19435</v>
      </c>
      <c r="I9" s="43">
        <f>7318+291</f>
        <v>7609</v>
      </c>
      <c r="J9" s="43">
        <f>7798+383</f>
        <v>8181</v>
      </c>
      <c r="K9" s="217">
        <f>-39447+193</f>
        <v>-39254</v>
      </c>
      <c r="L9" s="61"/>
      <c r="M9" s="58" t="s">
        <v>3</v>
      </c>
    </row>
    <row r="10" spans="1:13" ht="24.75" customHeight="1">
      <c r="A10" s="26" t="s">
        <v>15</v>
      </c>
      <c r="B10" s="152">
        <f>+B5+B7+B8+B9</f>
        <v>53512</v>
      </c>
      <c r="C10" s="152">
        <f>48217+483</f>
        <v>48700</v>
      </c>
      <c r="D10" s="152">
        <f>72363+248</f>
        <v>72611</v>
      </c>
      <c r="E10" s="28">
        <f>63149+465</f>
        <v>63614</v>
      </c>
      <c r="F10" s="28">
        <f>65581+2712</f>
        <v>68293</v>
      </c>
      <c r="G10" s="28">
        <f>49141+2449</f>
        <v>51590</v>
      </c>
      <c r="H10" s="28">
        <f>30744+1417</f>
        <v>32161</v>
      </c>
      <c r="I10" s="28">
        <f>50849+291</f>
        <v>51140</v>
      </c>
      <c r="J10" s="28">
        <f>30725+383</f>
        <v>31108</v>
      </c>
      <c r="K10" s="216">
        <f>-2842+193</f>
        <v>-2649</v>
      </c>
      <c r="L10" s="61"/>
    </row>
    <row r="11" spans="1:13" ht="14.25" customHeight="1" thickBot="1">
      <c r="A11" s="6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219"/>
    </row>
    <row r="12" spans="1:13" ht="24.75" customHeight="1" thickTop="1">
      <c r="A12" s="2" t="s">
        <v>16</v>
      </c>
      <c r="B12" s="44">
        <v>14061</v>
      </c>
      <c r="C12" s="44">
        <v>14049</v>
      </c>
      <c r="D12" s="44">
        <v>13754</v>
      </c>
      <c r="E12" s="45">
        <v>13567</v>
      </c>
      <c r="F12" s="3">
        <v>17304</v>
      </c>
      <c r="G12" s="3">
        <v>13176</v>
      </c>
      <c r="H12" s="3">
        <v>11990</v>
      </c>
      <c r="I12" s="45">
        <v>9331</v>
      </c>
      <c r="J12" s="45">
        <v>8468</v>
      </c>
      <c r="K12" s="221">
        <v>1506</v>
      </c>
      <c r="L12" s="61"/>
    </row>
    <row r="13" spans="1:13" ht="24.75" customHeight="1">
      <c r="A13" s="5" t="s">
        <v>17</v>
      </c>
      <c r="B13" s="41">
        <v>9789</v>
      </c>
      <c r="C13" s="41">
        <f>7586+611+1268</f>
        <v>9465</v>
      </c>
      <c r="D13" s="41">
        <f>8061+663+1254</f>
        <v>9978</v>
      </c>
      <c r="E13" s="43">
        <f>8545+942+1034</f>
        <v>10521</v>
      </c>
      <c r="F13" s="43">
        <f>8050+818+1079</f>
        <v>9947</v>
      </c>
      <c r="G13" s="43">
        <f>9168+719+1042</f>
        <v>10929</v>
      </c>
      <c r="H13" s="43">
        <f>8712+771+583</f>
        <v>10066</v>
      </c>
      <c r="I13" s="43">
        <f>7174+1311+680</f>
        <v>9165</v>
      </c>
      <c r="J13" s="43">
        <f>6428+1278+680</f>
        <v>8386</v>
      </c>
      <c r="K13" s="217">
        <f>4806+294+665</f>
        <v>5765</v>
      </c>
      <c r="L13" s="61"/>
    </row>
    <row r="14" spans="1:13" ht="24.75" hidden="1" customHeight="1" outlineLevel="1">
      <c r="A14" s="234" t="s">
        <v>18</v>
      </c>
      <c r="B14" s="41"/>
      <c r="C14" s="41">
        <v>0</v>
      </c>
      <c r="D14" s="41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217">
        <v>0</v>
      </c>
      <c r="L14" s="61"/>
    </row>
    <row r="15" spans="1:13" ht="24.75" hidden="1" customHeight="1" outlineLevel="1">
      <c r="A15" s="234" t="s">
        <v>19</v>
      </c>
      <c r="B15" s="41"/>
      <c r="C15" s="41">
        <v>0</v>
      </c>
      <c r="D15" s="41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217">
        <v>0</v>
      </c>
      <c r="L15" s="61"/>
    </row>
    <row r="16" spans="1:13" ht="24.75" customHeight="1" collapsed="1">
      <c r="A16" s="26" t="s">
        <v>20</v>
      </c>
      <c r="B16" s="152">
        <f>+B12+B13</f>
        <v>23850</v>
      </c>
      <c r="C16" s="152">
        <v>23514</v>
      </c>
      <c r="D16" s="152">
        <v>23732</v>
      </c>
      <c r="E16" s="28">
        <v>24088</v>
      </c>
      <c r="F16" s="28">
        <v>27251</v>
      </c>
      <c r="G16" s="28">
        <v>24105</v>
      </c>
      <c r="H16" s="28">
        <v>22056</v>
      </c>
      <c r="I16" s="28">
        <v>18496</v>
      </c>
      <c r="J16" s="28">
        <v>16854</v>
      </c>
      <c r="K16" s="216">
        <v>7271</v>
      </c>
      <c r="L16" s="61"/>
      <c r="M16" s="64" t="s">
        <v>3</v>
      </c>
    </row>
    <row r="17" spans="1:15" ht="15" customHeight="1" thickBot="1">
      <c r="A17" s="6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219"/>
    </row>
    <row r="18" spans="1:15" ht="24.75" hidden="1" customHeight="1" outlineLevel="1" thickTop="1">
      <c r="A18" s="237" t="s">
        <v>21</v>
      </c>
      <c r="B18" s="44"/>
      <c r="C18" s="44">
        <v>0</v>
      </c>
      <c r="D18" s="44">
        <v>0</v>
      </c>
      <c r="E18" s="45">
        <v>0</v>
      </c>
      <c r="F18" s="3">
        <v>0</v>
      </c>
      <c r="G18" s="3">
        <v>0</v>
      </c>
      <c r="H18" s="3">
        <v>0</v>
      </c>
      <c r="I18" s="45">
        <v>0</v>
      </c>
      <c r="J18" s="3">
        <v>0</v>
      </c>
      <c r="K18" s="221">
        <v>0</v>
      </c>
      <c r="L18" s="61"/>
    </row>
    <row r="19" spans="1:15" ht="24.75" customHeight="1" collapsed="1" thickTop="1">
      <c r="A19" s="26" t="s">
        <v>131</v>
      </c>
      <c r="B19" s="152">
        <f>+B10-B16</f>
        <v>29662</v>
      </c>
      <c r="C19" s="152">
        <v>25186</v>
      </c>
      <c r="D19" s="152">
        <v>48879</v>
      </c>
      <c r="E19" s="28">
        <v>39526</v>
      </c>
      <c r="F19" s="28">
        <v>41042</v>
      </c>
      <c r="G19" s="28">
        <v>27485</v>
      </c>
      <c r="H19" s="28">
        <v>10105</v>
      </c>
      <c r="I19" s="28">
        <v>32644</v>
      </c>
      <c r="J19" s="28">
        <v>14254</v>
      </c>
      <c r="K19" s="216">
        <v>-9920</v>
      </c>
      <c r="L19" s="61"/>
    </row>
    <row r="20" spans="1:15" ht="14.25" customHeight="1" thickBot="1">
      <c r="A20" s="6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219"/>
    </row>
    <row r="21" spans="1:15" ht="24.75" customHeight="1" thickTop="1">
      <c r="A21" s="2" t="s">
        <v>23</v>
      </c>
      <c r="B21" s="4">
        <f>6643+3253</f>
        <v>9896</v>
      </c>
      <c r="C21" s="4">
        <v>8543</v>
      </c>
      <c r="D21" s="4">
        <v>12419</v>
      </c>
      <c r="E21" s="3">
        <v>9789</v>
      </c>
      <c r="F21" s="3">
        <v>12283</v>
      </c>
      <c r="G21" s="3">
        <v>4125</v>
      </c>
      <c r="H21" s="3">
        <v>-597</v>
      </c>
      <c r="I21" s="3">
        <v>8182</v>
      </c>
      <c r="J21" s="3">
        <v>615</v>
      </c>
      <c r="K21" s="199">
        <v>-2941</v>
      </c>
      <c r="L21" s="61"/>
      <c r="M21" s="58" t="s">
        <v>3</v>
      </c>
    </row>
    <row r="22" spans="1:15" ht="24.75" customHeight="1">
      <c r="A22" s="26" t="s">
        <v>133</v>
      </c>
      <c r="B22" s="152">
        <f>+B19-B21</f>
        <v>19766</v>
      </c>
      <c r="C22" s="152">
        <v>16643</v>
      </c>
      <c r="D22" s="152">
        <v>36460</v>
      </c>
      <c r="E22" s="28">
        <v>29737</v>
      </c>
      <c r="F22" s="28">
        <v>28759</v>
      </c>
      <c r="G22" s="28">
        <v>23360</v>
      </c>
      <c r="H22" s="28">
        <v>10702</v>
      </c>
      <c r="I22" s="28">
        <v>24462</v>
      </c>
      <c r="J22" s="28">
        <v>13639</v>
      </c>
      <c r="K22" s="216">
        <v>-6979</v>
      </c>
      <c r="L22" s="61"/>
      <c r="M22" s="64" t="s">
        <v>3</v>
      </c>
    </row>
    <row r="23" spans="1:15" ht="15" customHeight="1" thickBot="1">
      <c r="L23" s="90"/>
    </row>
    <row r="24" spans="1:15" ht="24.75" customHeight="1" thickTop="1">
      <c r="A24" s="2" t="s">
        <v>24</v>
      </c>
      <c r="B24" s="44">
        <v>0</v>
      </c>
      <c r="C24" s="44">
        <v>0</v>
      </c>
      <c r="D24" s="44">
        <v>0</v>
      </c>
      <c r="E24" s="45">
        <v>0</v>
      </c>
      <c r="F24" s="3">
        <v>0</v>
      </c>
      <c r="G24" s="3">
        <v>2134</v>
      </c>
      <c r="H24" s="3">
        <v>6255</v>
      </c>
      <c r="I24" s="45">
        <v>2769</v>
      </c>
      <c r="J24" s="3">
        <v>693</v>
      </c>
      <c r="K24" s="221">
        <v>43</v>
      </c>
      <c r="L24" s="61"/>
    </row>
    <row r="25" spans="1:15" ht="24.75" customHeight="1">
      <c r="A25" s="26" t="s">
        <v>130</v>
      </c>
      <c r="B25" s="152">
        <f>+B22</f>
        <v>19766</v>
      </c>
      <c r="C25" s="152">
        <v>16643</v>
      </c>
      <c r="D25" s="152">
        <v>36460</v>
      </c>
      <c r="E25" s="28">
        <v>29737</v>
      </c>
      <c r="F25" s="28">
        <v>28759</v>
      </c>
      <c r="G25" s="28">
        <v>25494</v>
      </c>
      <c r="H25" s="28">
        <v>16957</v>
      </c>
      <c r="I25" s="28">
        <v>27231</v>
      </c>
      <c r="J25" s="28">
        <v>14332</v>
      </c>
      <c r="K25" s="216">
        <v>-6936</v>
      </c>
    </row>
    <row r="26" spans="1:15" ht="24.75" customHeight="1">
      <c r="H26" s="64" t="s">
        <v>3</v>
      </c>
      <c r="I26" s="64" t="s">
        <v>3</v>
      </c>
      <c r="J26" s="64" t="s">
        <v>3</v>
      </c>
      <c r="K26" s="64" t="s">
        <v>3</v>
      </c>
    </row>
    <row r="27" spans="1:15" ht="24.75" customHeight="1">
      <c r="A27" s="123" t="s">
        <v>9</v>
      </c>
    </row>
    <row r="30" spans="1:15" ht="15.7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41.25" customHeight="1">
      <c r="A31" s="60"/>
      <c r="B31" s="60"/>
    </row>
    <row r="32" spans="1:15" ht="15.75">
      <c r="A32" s="59"/>
      <c r="B32" s="59"/>
    </row>
    <row r="33" spans="2:6">
      <c r="B33" s="64" t="s">
        <v>3</v>
      </c>
      <c r="C33" s="64" t="s">
        <v>3</v>
      </c>
      <c r="D33" s="64" t="s">
        <v>3</v>
      </c>
      <c r="E33" s="64" t="s">
        <v>3</v>
      </c>
      <c r="F33" s="64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F53"/>
  <sheetViews>
    <sheetView view="pageBreakPreview" zoomScale="90" zoomScaleNormal="80" zoomScaleSheetLayoutView="90" zoomScalePageLayoutView="120" workbookViewId="0">
      <selection activeCell="E33" sqref="E33"/>
    </sheetView>
  </sheetViews>
  <sheetFormatPr defaultColWidth="11.5546875" defaultRowHeight="15" outlineLevelRow="1"/>
  <cols>
    <col min="1" max="1" width="32.109375" style="58" customWidth="1"/>
    <col min="2" max="15" width="7.77734375" style="58" customWidth="1"/>
    <col min="16" max="16" width="6.44140625" style="58" bestFit="1" customWidth="1"/>
    <col min="17" max="30" width="7.77734375" style="58" customWidth="1"/>
    <col min="31" max="31" width="1.5546875" style="58" bestFit="1" customWidth="1"/>
    <col min="32" max="16384" width="11.5546875" style="58"/>
  </cols>
  <sheetData>
    <row r="1" spans="1:30" ht="24.95" customHeight="1">
      <c r="A1" s="82" t="s">
        <v>107</v>
      </c>
      <c r="B1" s="8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ht="24" customHeight="1">
      <c r="A2" s="150" t="s">
        <v>11</v>
      </c>
      <c r="B2" s="154" t="s">
        <v>210</v>
      </c>
      <c r="C2" s="154" t="s">
        <v>205</v>
      </c>
      <c r="D2" s="154" t="s">
        <v>197</v>
      </c>
      <c r="E2" s="154" t="s">
        <v>193</v>
      </c>
      <c r="F2" s="154" t="s">
        <v>189</v>
      </c>
      <c r="G2" s="154" t="s">
        <v>157</v>
      </c>
      <c r="H2" s="154" t="s">
        <v>25</v>
      </c>
      <c r="I2" s="154" t="s">
        <v>26</v>
      </c>
      <c r="J2" s="154" t="s">
        <v>27</v>
      </c>
      <c r="K2" s="154" t="s">
        <v>28</v>
      </c>
      <c r="L2" s="154" t="s">
        <v>29</v>
      </c>
      <c r="M2" s="154" t="s">
        <v>30</v>
      </c>
      <c r="N2" s="154" t="s">
        <v>31</v>
      </c>
      <c r="O2" s="154" t="s">
        <v>32</v>
      </c>
      <c r="P2" s="154" t="s">
        <v>33</v>
      </c>
      <c r="Q2" s="154" t="s">
        <v>34</v>
      </c>
      <c r="R2" s="154" t="s">
        <v>35</v>
      </c>
      <c r="S2" s="154" t="s">
        <v>36</v>
      </c>
      <c r="T2" s="154" t="s">
        <v>37</v>
      </c>
      <c r="U2" s="154" t="s">
        <v>38</v>
      </c>
      <c r="V2" s="154" t="s">
        <v>39</v>
      </c>
      <c r="W2" s="154" t="s">
        <v>40</v>
      </c>
      <c r="X2" s="154" t="s">
        <v>41</v>
      </c>
      <c r="Y2" s="154" t="s">
        <v>42</v>
      </c>
      <c r="Z2" s="154" t="s">
        <v>43</v>
      </c>
      <c r="AA2" s="154" t="s">
        <v>44</v>
      </c>
      <c r="AB2" s="154" t="s">
        <v>45</v>
      </c>
      <c r="AC2" s="154" t="s">
        <v>46</v>
      </c>
      <c r="AD2" s="154" t="s">
        <v>47</v>
      </c>
    </row>
    <row r="3" spans="1:30" ht="24" customHeight="1">
      <c r="A3" s="96" t="s">
        <v>12</v>
      </c>
      <c r="B3" s="99">
        <v>9641</v>
      </c>
      <c r="C3" s="99">
        <v>9201</v>
      </c>
      <c r="D3" s="99">
        <v>8894</v>
      </c>
      <c r="E3" s="99">
        <v>10158</v>
      </c>
      <c r="F3" s="99">
        <v>8018</v>
      </c>
      <c r="G3" s="99">
        <v>8443</v>
      </c>
      <c r="H3" s="99">
        <v>8596</v>
      </c>
      <c r="I3" s="99">
        <v>10145</v>
      </c>
      <c r="J3" s="100">
        <v>7466</v>
      </c>
      <c r="K3" s="100">
        <v>7292</v>
      </c>
      <c r="L3" s="101">
        <v>8834</v>
      </c>
      <c r="M3" s="102">
        <v>8929</v>
      </c>
      <c r="N3" s="102">
        <v>7269</v>
      </c>
      <c r="O3" s="102">
        <v>5776</v>
      </c>
      <c r="P3" s="102">
        <v>7057</v>
      </c>
      <c r="Q3" s="102">
        <v>7385</v>
      </c>
      <c r="R3" s="207">
        <v>7855</v>
      </c>
      <c r="S3" s="102">
        <v>9977</v>
      </c>
      <c r="T3" s="102">
        <v>7340</v>
      </c>
      <c r="U3" s="102">
        <v>7118</v>
      </c>
      <c r="V3" s="102">
        <v>9879</v>
      </c>
      <c r="W3" s="102">
        <v>9229</v>
      </c>
      <c r="X3" s="102">
        <v>7782</v>
      </c>
      <c r="Y3" s="102">
        <v>10020</v>
      </c>
      <c r="Z3" s="102">
        <v>8553</v>
      </c>
      <c r="AA3" s="102">
        <v>8058</v>
      </c>
      <c r="AB3" s="102">
        <v>7742</v>
      </c>
      <c r="AC3" s="102">
        <v>9704</v>
      </c>
      <c r="AD3" s="153">
        <v>7145</v>
      </c>
    </row>
    <row r="4" spans="1:30" ht="24" customHeight="1">
      <c r="A4" s="89" t="s">
        <v>196</v>
      </c>
      <c r="B4" s="103">
        <v>1024</v>
      </c>
      <c r="C4" s="103">
        <v>-282</v>
      </c>
      <c r="D4" s="103">
        <v>766</v>
      </c>
      <c r="E4" s="103">
        <v>-478</v>
      </c>
      <c r="F4" s="103">
        <v>1779</v>
      </c>
      <c r="G4" s="103">
        <v>-4737</v>
      </c>
      <c r="H4" s="103">
        <v>2144</v>
      </c>
      <c r="I4" s="103">
        <v>1964</v>
      </c>
      <c r="J4" s="104">
        <v>311</v>
      </c>
      <c r="K4" s="105">
        <v>5882</v>
      </c>
      <c r="L4" s="105">
        <v>10489</v>
      </c>
      <c r="M4" s="106">
        <v>249</v>
      </c>
      <c r="N4" s="106">
        <v>1596</v>
      </c>
      <c r="O4" s="106">
        <v>6101</v>
      </c>
      <c r="P4" s="106">
        <v>2581</v>
      </c>
      <c r="Q4" s="106">
        <v>7276</v>
      </c>
      <c r="R4" s="208">
        <v>4170</v>
      </c>
      <c r="S4" s="106">
        <v>3932</v>
      </c>
      <c r="T4" s="106">
        <v>1551</v>
      </c>
      <c r="U4" s="106">
        <v>3317</v>
      </c>
      <c r="V4" s="106">
        <v>4253</v>
      </c>
      <c r="W4" s="106">
        <v>2696</v>
      </c>
      <c r="X4" s="106">
        <v>-3622</v>
      </c>
      <c r="Y4" s="106">
        <v>-3792</v>
      </c>
      <c r="Z4" s="106">
        <v>327</v>
      </c>
      <c r="AA4" s="106">
        <v>-24380</v>
      </c>
      <c r="AB4" s="106">
        <v>-1881</v>
      </c>
      <c r="AC4" s="106">
        <v>4445</v>
      </c>
      <c r="AD4" s="135">
        <v>-1771</v>
      </c>
    </row>
    <row r="5" spans="1:30" ht="24" customHeight="1">
      <c r="A5" s="26" t="s">
        <v>13</v>
      </c>
      <c r="B5" s="129">
        <f>+B3+B4</f>
        <v>10665</v>
      </c>
      <c r="C5" s="129">
        <f>+C3+C4</f>
        <v>8919</v>
      </c>
      <c r="D5" s="129">
        <v>9660</v>
      </c>
      <c r="E5" s="129">
        <v>9680</v>
      </c>
      <c r="F5" s="129">
        <v>9797</v>
      </c>
      <c r="G5" s="129">
        <v>3706</v>
      </c>
      <c r="H5" s="129">
        <v>10740</v>
      </c>
      <c r="I5" s="129">
        <v>12109</v>
      </c>
      <c r="J5" s="130">
        <v>7777</v>
      </c>
      <c r="K5" s="130">
        <v>13174</v>
      </c>
      <c r="L5" s="131">
        <v>19323</v>
      </c>
      <c r="M5" s="131">
        <v>9178</v>
      </c>
      <c r="N5" s="131">
        <v>8865</v>
      </c>
      <c r="O5" s="131">
        <v>11877</v>
      </c>
      <c r="P5" s="131">
        <v>9638</v>
      </c>
      <c r="Q5" s="131">
        <v>14661</v>
      </c>
      <c r="R5" s="209">
        <v>12025</v>
      </c>
      <c r="S5" s="131">
        <v>13909</v>
      </c>
      <c r="T5" s="131">
        <v>8891</v>
      </c>
      <c r="U5" s="131">
        <v>10435</v>
      </c>
      <c r="V5" s="131">
        <v>14132</v>
      </c>
      <c r="W5" s="131">
        <v>11925</v>
      </c>
      <c r="X5" s="131">
        <v>4160</v>
      </c>
      <c r="Y5" s="131">
        <v>6228</v>
      </c>
      <c r="Z5" s="131">
        <v>8880</v>
      </c>
      <c r="AA5" s="131">
        <v>-16322</v>
      </c>
      <c r="AB5" s="131">
        <v>5861</v>
      </c>
      <c r="AC5" s="131">
        <v>14149</v>
      </c>
      <c r="AD5" s="137">
        <v>5374</v>
      </c>
    </row>
    <row r="6" spans="1:30" ht="14.25" customHeight="1" thickBot="1">
      <c r="A6" s="62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24" customHeight="1" thickTop="1">
      <c r="A7" s="97" t="s">
        <v>14</v>
      </c>
      <c r="B7" s="108">
        <v>1691</v>
      </c>
      <c r="C7" s="108">
        <v>1840</v>
      </c>
      <c r="D7" s="108">
        <v>2159</v>
      </c>
      <c r="E7" s="108">
        <v>2316</v>
      </c>
      <c r="F7" s="108">
        <v>2116</v>
      </c>
      <c r="G7" s="108">
        <v>1900</v>
      </c>
      <c r="H7" s="108">
        <v>2015</v>
      </c>
      <c r="I7" s="108">
        <v>1914</v>
      </c>
      <c r="J7" s="109">
        <v>1980</v>
      </c>
      <c r="K7" s="109">
        <v>1702</v>
      </c>
      <c r="L7" s="110">
        <v>1745</v>
      </c>
      <c r="M7" s="111">
        <v>1753</v>
      </c>
      <c r="N7" s="111">
        <v>1641</v>
      </c>
      <c r="O7" s="111">
        <v>1640</v>
      </c>
      <c r="P7" s="111">
        <v>1275</v>
      </c>
      <c r="Q7" s="111">
        <v>1403</v>
      </c>
      <c r="R7" s="210">
        <v>1518</v>
      </c>
      <c r="S7" s="111">
        <v>1180</v>
      </c>
      <c r="T7" s="111">
        <v>1151</v>
      </c>
      <c r="U7" s="111">
        <v>1597</v>
      </c>
      <c r="V7" s="111">
        <v>1363</v>
      </c>
      <c r="W7" s="111">
        <v>1326</v>
      </c>
      <c r="X7" s="111">
        <v>1030</v>
      </c>
      <c r="Y7" s="111">
        <v>1090</v>
      </c>
      <c r="Z7" s="111">
        <v>1002</v>
      </c>
      <c r="AA7" s="111">
        <v>1079</v>
      </c>
      <c r="AB7" s="111">
        <v>1127</v>
      </c>
      <c r="AC7" s="111">
        <v>1187</v>
      </c>
      <c r="AD7" s="134">
        <v>1030</v>
      </c>
    </row>
    <row r="8" spans="1:30" ht="24" customHeight="1">
      <c r="A8" s="89" t="s">
        <v>158</v>
      </c>
      <c r="B8" s="112">
        <v>-70</v>
      </c>
      <c r="C8" s="112">
        <v>-482</v>
      </c>
      <c r="D8" s="112">
        <v>-10</v>
      </c>
      <c r="E8" s="112">
        <v>-518</v>
      </c>
      <c r="F8" s="112">
        <v>-365</v>
      </c>
      <c r="G8" s="112">
        <v>-212</v>
      </c>
      <c r="H8" s="112">
        <v>25</v>
      </c>
      <c r="I8" s="112">
        <v>-154</v>
      </c>
      <c r="J8" s="113">
        <v>162</v>
      </c>
      <c r="K8" s="105">
        <v>-58</v>
      </c>
      <c r="L8" s="114">
        <v>-748</v>
      </c>
      <c r="M8" s="115">
        <v>-147</v>
      </c>
      <c r="N8" s="115">
        <v>-324</v>
      </c>
      <c r="O8" s="115">
        <v>107</v>
      </c>
      <c r="P8" s="115">
        <v>154</v>
      </c>
      <c r="Q8" s="115">
        <v>-171</v>
      </c>
      <c r="R8" s="211">
        <v>-23</v>
      </c>
      <c r="S8" s="115">
        <v>-203</v>
      </c>
      <c r="T8" s="115">
        <v>162</v>
      </c>
      <c r="U8" s="106">
        <v>16</v>
      </c>
      <c r="V8" s="106">
        <v>1172</v>
      </c>
      <c r="W8" s="106">
        <v>2831</v>
      </c>
      <c r="X8" s="115">
        <v>899</v>
      </c>
      <c r="Y8" s="106">
        <v>-1280</v>
      </c>
      <c r="Z8" s="106">
        <v>2116</v>
      </c>
      <c r="AA8" s="106">
        <v>290</v>
      </c>
      <c r="AB8" s="106">
        <v>-910</v>
      </c>
      <c r="AC8" s="106">
        <v>2440</v>
      </c>
      <c r="AD8" s="135">
        <v>-2579</v>
      </c>
    </row>
    <row r="9" spans="1:30" s="227" customFormat="1" ht="24" customHeight="1">
      <c r="A9" s="89" t="s">
        <v>113</v>
      </c>
      <c r="B9" s="103">
        <f>2196+2350</f>
        <v>4546</v>
      </c>
      <c r="C9" s="103">
        <v>1593</v>
      </c>
      <c r="D9" s="103">
        <f>509+36</f>
        <v>545</v>
      </c>
      <c r="E9" s="103">
        <f>1742+355</f>
        <v>2097</v>
      </c>
      <c r="F9" s="103">
        <f>3263+16+886</f>
        <v>4165</v>
      </c>
      <c r="G9" s="103">
        <f>450+508+619+37</f>
        <v>1614</v>
      </c>
      <c r="H9" s="103">
        <f>259+71</f>
        <v>330</v>
      </c>
      <c r="I9" s="103">
        <f>2821+371</f>
        <v>3192</v>
      </c>
      <c r="J9" s="104">
        <f>1598+4</f>
        <v>1602</v>
      </c>
      <c r="K9" s="104">
        <f>6621-9</f>
        <v>6612</v>
      </c>
      <c r="L9" s="105">
        <f>1837+145</f>
        <v>1982</v>
      </c>
      <c r="M9" s="106">
        <f>3300+103</f>
        <v>3403</v>
      </c>
      <c r="N9" s="106">
        <f>4501+9</f>
        <v>4510</v>
      </c>
      <c r="O9" s="106">
        <f>4807+125</f>
        <v>4932</v>
      </c>
      <c r="P9" s="106">
        <v>734</v>
      </c>
      <c r="Q9" s="106">
        <f>4381+329</f>
        <v>4710</v>
      </c>
      <c r="R9" s="208">
        <f>-877+11</f>
        <v>-866</v>
      </c>
      <c r="S9" s="225">
        <v>2174</v>
      </c>
      <c r="T9" s="225">
        <v>3423</v>
      </c>
      <c r="U9" s="225">
        <v>2794</v>
      </c>
      <c r="V9" s="225">
        <v>3385</v>
      </c>
      <c r="W9" s="225">
        <v>3118</v>
      </c>
      <c r="X9" s="225">
        <v>292</v>
      </c>
      <c r="Y9" s="225">
        <v>1810</v>
      </c>
      <c r="Z9" s="225">
        <v>3714</v>
      </c>
      <c r="AA9" s="225">
        <v>6167</v>
      </c>
      <c r="AB9" s="225">
        <v>1835</v>
      </c>
      <c r="AC9" s="225">
        <v>545</v>
      </c>
      <c r="AD9" s="226">
        <v>9471</v>
      </c>
    </row>
    <row r="10" spans="1:30" ht="24" customHeight="1">
      <c r="A10" s="132" t="s">
        <v>15</v>
      </c>
      <c r="B10" s="129">
        <v>16832</v>
      </c>
      <c r="C10" s="129">
        <v>11870</v>
      </c>
      <c r="D10" s="129">
        <v>12354</v>
      </c>
      <c r="E10" s="129">
        <v>13575</v>
      </c>
      <c r="F10" s="129">
        <v>15713</v>
      </c>
      <c r="G10" s="129">
        <f>6971+37</f>
        <v>7008</v>
      </c>
      <c r="H10" s="129">
        <f>13039+71</f>
        <v>13110</v>
      </c>
      <c r="I10" s="129">
        <f>16690+371</f>
        <v>17061</v>
      </c>
      <c r="J10" s="130">
        <f>11517+4</f>
        <v>11521</v>
      </c>
      <c r="K10" s="130">
        <f>21439-9</f>
        <v>21430</v>
      </c>
      <c r="L10" s="131">
        <f>22157+145</f>
        <v>22302</v>
      </c>
      <c r="M10" s="131">
        <f>14084+103</f>
        <v>14187</v>
      </c>
      <c r="N10" s="131">
        <f>14683+9</f>
        <v>14692</v>
      </c>
      <c r="O10" s="131">
        <f>18431+125</f>
        <v>18556</v>
      </c>
      <c r="P10" s="131">
        <v>11801</v>
      </c>
      <c r="Q10" s="131">
        <f>20274+329</f>
        <v>20603</v>
      </c>
      <c r="R10" s="209">
        <f>12643+11</f>
        <v>12654</v>
      </c>
      <c r="S10" s="131">
        <v>17060</v>
      </c>
      <c r="T10" s="131">
        <v>13627</v>
      </c>
      <c r="U10" s="131">
        <v>14842</v>
      </c>
      <c r="V10" s="131">
        <v>20052</v>
      </c>
      <c r="W10" s="131">
        <v>19200</v>
      </c>
      <c r="X10" s="131">
        <v>6381</v>
      </c>
      <c r="Y10" s="131">
        <v>7848</v>
      </c>
      <c r="Z10" s="131">
        <v>15712</v>
      </c>
      <c r="AA10" s="131">
        <v>-8786</v>
      </c>
      <c r="AB10" s="131">
        <v>7913</v>
      </c>
      <c r="AC10" s="131">
        <v>18321</v>
      </c>
      <c r="AD10" s="137">
        <v>13296</v>
      </c>
    </row>
    <row r="11" spans="1:30" ht="14.25" customHeight="1" thickBot="1">
      <c r="A11" s="62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24" customHeight="1" thickTop="1">
      <c r="A12" s="97" t="s">
        <v>16</v>
      </c>
      <c r="B12" s="103">
        <v>3663</v>
      </c>
      <c r="C12" s="103">
        <v>3753</v>
      </c>
      <c r="D12" s="103">
        <v>3163</v>
      </c>
      <c r="E12" s="103">
        <v>3654</v>
      </c>
      <c r="F12" s="103">
        <v>3491</v>
      </c>
      <c r="G12" s="103">
        <v>3640</v>
      </c>
      <c r="H12" s="103">
        <v>3096</v>
      </c>
      <c r="I12" s="103">
        <v>3559</v>
      </c>
      <c r="J12" s="104">
        <v>3754</v>
      </c>
      <c r="K12" s="105">
        <v>3407</v>
      </c>
      <c r="L12" s="105">
        <v>3466</v>
      </c>
      <c r="M12" s="106">
        <v>3179</v>
      </c>
      <c r="N12" s="106">
        <v>3702</v>
      </c>
      <c r="O12" s="106">
        <v>3805</v>
      </c>
      <c r="P12" s="106">
        <v>3019</v>
      </c>
      <c r="Q12" s="106">
        <v>3288</v>
      </c>
      <c r="R12" s="208">
        <v>3455</v>
      </c>
      <c r="S12" s="111">
        <v>3508</v>
      </c>
      <c r="T12" s="111">
        <v>2810</v>
      </c>
      <c r="U12" s="111">
        <v>3122</v>
      </c>
      <c r="V12" s="111">
        <v>7864</v>
      </c>
      <c r="W12" s="111">
        <v>3477</v>
      </c>
      <c r="X12" s="111">
        <v>3103</v>
      </c>
      <c r="Y12" s="111">
        <v>3364</v>
      </c>
      <c r="Z12" s="111">
        <v>3232</v>
      </c>
      <c r="AA12" s="111">
        <v>4044</v>
      </c>
      <c r="AB12" s="111">
        <v>2703</v>
      </c>
      <c r="AC12" s="111">
        <v>2933</v>
      </c>
      <c r="AD12" s="134">
        <v>2310</v>
      </c>
    </row>
    <row r="13" spans="1:30" ht="24" customHeight="1">
      <c r="A13" s="89" t="s">
        <v>17</v>
      </c>
      <c r="B13" s="103">
        <v>2335</v>
      </c>
      <c r="C13" s="103">
        <v>2411</v>
      </c>
      <c r="D13" s="103">
        <v>2475</v>
      </c>
      <c r="E13" s="103">
        <v>2477</v>
      </c>
      <c r="F13" s="103">
        <v>2426</v>
      </c>
      <c r="G13" s="103">
        <f>1843+152+297</f>
        <v>2292</v>
      </c>
      <c r="H13" s="103">
        <f>1760+165+305</f>
        <v>2230</v>
      </c>
      <c r="I13" s="103">
        <f>1940+148+356</f>
        <v>2444</v>
      </c>
      <c r="J13" s="104">
        <f>2043+146+310</f>
        <v>2499</v>
      </c>
      <c r="K13" s="105">
        <f>2223+167+284</f>
        <v>2674</v>
      </c>
      <c r="L13" s="105">
        <f>1757+167+203</f>
        <v>2127</v>
      </c>
      <c r="M13" s="106">
        <f>2011+165+421</f>
        <v>2597</v>
      </c>
      <c r="N13" s="106">
        <f>2070+164+346</f>
        <v>2580</v>
      </c>
      <c r="O13" s="106">
        <f>2635+419+259</f>
        <v>3313</v>
      </c>
      <c r="P13" s="106">
        <f>1740+171+253</f>
        <v>2164</v>
      </c>
      <c r="Q13" s="106">
        <f>1965+175+255</f>
        <v>2395</v>
      </c>
      <c r="R13" s="208">
        <f>2205+177+267</f>
        <v>2649</v>
      </c>
      <c r="S13" s="106">
        <v>1923</v>
      </c>
      <c r="T13" s="106">
        <v>1884</v>
      </c>
      <c r="U13" s="106">
        <v>2109</v>
      </c>
      <c r="V13" s="106">
        <v>2134</v>
      </c>
      <c r="W13" s="106">
        <v>2402</v>
      </c>
      <c r="X13" s="106">
        <v>2250</v>
      </c>
      <c r="Y13" s="106">
        <v>2331</v>
      </c>
      <c r="Z13" s="106">
        <v>2185</v>
      </c>
      <c r="AA13" s="106">
        <v>2301</v>
      </c>
      <c r="AB13" s="106">
        <v>1597</v>
      </c>
      <c r="AC13" s="106">
        <v>2863</v>
      </c>
      <c r="AD13" s="135">
        <v>1951</v>
      </c>
    </row>
    <row r="14" spans="1:30" ht="24" hidden="1" customHeight="1" outlineLevel="1">
      <c r="A14" s="233" t="s">
        <v>18</v>
      </c>
      <c r="B14" s="103"/>
      <c r="C14" s="103"/>
      <c r="D14" s="103"/>
      <c r="E14" s="103"/>
      <c r="F14" s="103">
        <v>0</v>
      </c>
      <c r="G14" s="103">
        <v>0</v>
      </c>
      <c r="H14" s="103">
        <v>0</v>
      </c>
      <c r="I14" s="103">
        <v>0</v>
      </c>
      <c r="J14" s="104">
        <v>0</v>
      </c>
      <c r="K14" s="105">
        <v>0</v>
      </c>
      <c r="L14" s="105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208">
        <v>0</v>
      </c>
      <c r="S14" s="115">
        <v>176</v>
      </c>
      <c r="T14" s="115">
        <v>219</v>
      </c>
      <c r="U14" s="115">
        <v>214</v>
      </c>
      <c r="V14" s="115">
        <v>209</v>
      </c>
      <c r="W14" s="115">
        <v>181</v>
      </c>
      <c r="X14" s="115">
        <v>177</v>
      </c>
      <c r="Y14" s="115">
        <v>181</v>
      </c>
      <c r="Z14" s="115">
        <v>180</v>
      </c>
      <c r="AA14" s="115">
        <v>240</v>
      </c>
      <c r="AB14" s="115">
        <v>182</v>
      </c>
      <c r="AC14" s="115">
        <v>172</v>
      </c>
      <c r="AD14" s="136">
        <v>177</v>
      </c>
    </row>
    <row r="15" spans="1:30" ht="24" hidden="1" customHeight="1" outlineLevel="1">
      <c r="A15" s="234" t="s">
        <v>19</v>
      </c>
      <c r="B15" s="103"/>
      <c r="C15" s="103"/>
      <c r="D15" s="103"/>
      <c r="E15" s="103"/>
      <c r="F15" s="103">
        <v>0</v>
      </c>
      <c r="G15" s="103">
        <v>0</v>
      </c>
      <c r="H15" s="103">
        <v>0</v>
      </c>
      <c r="I15" s="103">
        <v>0</v>
      </c>
      <c r="J15" s="104">
        <v>0</v>
      </c>
      <c r="K15" s="105">
        <v>0</v>
      </c>
      <c r="L15" s="105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208">
        <v>0</v>
      </c>
      <c r="S15" s="115">
        <v>273</v>
      </c>
      <c r="T15" s="115">
        <v>268</v>
      </c>
      <c r="U15" s="115">
        <v>270</v>
      </c>
      <c r="V15" s="115">
        <v>268</v>
      </c>
      <c r="W15" s="115">
        <v>275</v>
      </c>
      <c r="X15" s="115">
        <v>213</v>
      </c>
      <c r="Y15" s="115">
        <v>204</v>
      </c>
      <c r="Z15" s="115">
        <v>350</v>
      </c>
      <c r="AA15" s="115">
        <v>77</v>
      </c>
      <c r="AB15" s="115">
        <v>106</v>
      </c>
      <c r="AC15" s="115">
        <v>150</v>
      </c>
      <c r="AD15" s="136">
        <v>250</v>
      </c>
    </row>
    <row r="16" spans="1:30" ht="24" customHeight="1" collapsed="1">
      <c r="A16" s="132" t="s">
        <v>20</v>
      </c>
      <c r="B16" s="129">
        <f>+B12+B13</f>
        <v>5998</v>
      </c>
      <c r="C16" s="129">
        <f>+C12+C13</f>
        <v>6164</v>
      </c>
      <c r="D16" s="129">
        <v>5638</v>
      </c>
      <c r="E16" s="129">
        <v>6131</v>
      </c>
      <c r="F16" s="129">
        <v>5917</v>
      </c>
      <c r="G16" s="129">
        <v>5932</v>
      </c>
      <c r="H16" s="129">
        <v>5326</v>
      </c>
      <c r="I16" s="129">
        <v>6003</v>
      </c>
      <c r="J16" s="130">
        <v>6253</v>
      </c>
      <c r="K16" s="130">
        <v>6081</v>
      </c>
      <c r="L16" s="133">
        <v>5593</v>
      </c>
      <c r="M16" s="131">
        <v>5776</v>
      </c>
      <c r="N16" s="131">
        <v>6282</v>
      </c>
      <c r="O16" s="131">
        <v>7118</v>
      </c>
      <c r="P16" s="131">
        <v>5183</v>
      </c>
      <c r="Q16" s="131">
        <v>5683</v>
      </c>
      <c r="R16" s="209">
        <v>6104</v>
      </c>
      <c r="S16" s="131">
        <v>5880</v>
      </c>
      <c r="T16" s="131">
        <v>5181</v>
      </c>
      <c r="U16" s="131">
        <v>5715</v>
      </c>
      <c r="V16" s="131">
        <v>10475</v>
      </c>
      <c r="W16" s="131">
        <v>6335</v>
      </c>
      <c r="X16" s="131">
        <v>5743</v>
      </c>
      <c r="Y16" s="131">
        <v>6080</v>
      </c>
      <c r="Z16" s="131">
        <v>5947</v>
      </c>
      <c r="AA16" s="131">
        <v>6663</v>
      </c>
      <c r="AB16" s="131">
        <v>4588</v>
      </c>
      <c r="AC16" s="131">
        <v>6118</v>
      </c>
      <c r="AD16" s="137">
        <v>4687</v>
      </c>
    </row>
    <row r="17" spans="1:32" ht="14.25" customHeight="1" thickBot="1">
      <c r="A17" s="62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2" s="227" customFormat="1" ht="24" hidden="1" customHeight="1" outlineLevel="1" thickTop="1">
      <c r="A18" s="98" t="s">
        <v>21</v>
      </c>
      <c r="B18" s="228"/>
      <c r="C18" s="228"/>
      <c r="D18" s="228">
        <v>0</v>
      </c>
      <c r="E18" s="228">
        <v>0</v>
      </c>
      <c r="F18" s="228">
        <v>0</v>
      </c>
      <c r="G18" s="228">
        <v>0</v>
      </c>
      <c r="H18" s="228">
        <v>0</v>
      </c>
      <c r="I18" s="228">
        <v>0</v>
      </c>
      <c r="J18" s="229">
        <v>0</v>
      </c>
      <c r="K18" s="229">
        <v>0</v>
      </c>
      <c r="L18" s="229">
        <v>0</v>
      </c>
      <c r="M18" s="229">
        <v>0</v>
      </c>
      <c r="N18" s="229">
        <v>0</v>
      </c>
      <c r="O18" s="229">
        <v>0</v>
      </c>
      <c r="P18" s="229">
        <v>0</v>
      </c>
      <c r="Q18" s="229">
        <v>0</v>
      </c>
      <c r="R18" s="230">
        <v>0</v>
      </c>
      <c r="S18" s="229">
        <v>1585</v>
      </c>
      <c r="T18" s="229">
        <v>0</v>
      </c>
      <c r="U18" s="229">
        <v>866</v>
      </c>
      <c r="V18" s="229">
        <v>261</v>
      </c>
      <c r="W18" s="229">
        <v>1762</v>
      </c>
      <c r="X18" s="229">
        <v>14</v>
      </c>
      <c r="Y18" s="229">
        <v>673</v>
      </c>
      <c r="Z18" s="229">
        <v>0</v>
      </c>
      <c r="AA18" s="229">
        <v>256</v>
      </c>
      <c r="AB18" s="229">
        <v>-12</v>
      </c>
      <c r="AC18" s="229">
        <v>1183</v>
      </c>
      <c r="AD18" s="231">
        <v>-10</v>
      </c>
    </row>
    <row r="19" spans="1:32" ht="24" customHeight="1" collapsed="1" thickTop="1">
      <c r="A19" s="132" t="s">
        <v>131</v>
      </c>
      <c r="B19" s="129">
        <v>10834</v>
      </c>
      <c r="C19" s="129">
        <v>5706</v>
      </c>
      <c r="D19" s="129">
        <v>6716</v>
      </c>
      <c r="E19" s="129">
        <v>7444</v>
      </c>
      <c r="F19" s="129">
        <v>9796</v>
      </c>
      <c r="G19" s="129">
        <v>1076</v>
      </c>
      <c r="H19" s="129">
        <v>7784</v>
      </c>
      <c r="I19" s="129">
        <v>11058</v>
      </c>
      <c r="J19" s="130">
        <v>5268</v>
      </c>
      <c r="K19" s="130">
        <v>15349</v>
      </c>
      <c r="L19" s="133">
        <v>16709</v>
      </c>
      <c r="M19" s="131">
        <v>8411</v>
      </c>
      <c r="N19" s="131">
        <v>8410</v>
      </c>
      <c r="O19" s="131">
        <v>11438</v>
      </c>
      <c r="P19" s="131">
        <v>6618</v>
      </c>
      <c r="Q19" s="131">
        <v>14920</v>
      </c>
      <c r="R19" s="209">
        <v>6550</v>
      </c>
      <c r="S19" s="131">
        <v>12765</v>
      </c>
      <c r="T19" s="131">
        <v>8446</v>
      </c>
      <c r="U19" s="131">
        <v>9993</v>
      </c>
      <c r="V19" s="131">
        <v>9838</v>
      </c>
      <c r="W19" s="131">
        <v>14627</v>
      </c>
      <c r="X19" s="131">
        <v>652</v>
      </c>
      <c r="Y19" s="131">
        <v>2441</v>
      </c>
      <c r="Z19" s="131">
        <v>9765</v>
      </c>
      <c r="AA19" s="131">
        <v>-15192</v>
      </c>
      <c r="AB19" s="131">
        <v>3313</v>
      </c>
      <c r="AC19" s="131">
        <v>13386</v>
      </c>
      <c r="AD19" s="137">
        <v>8598</v>
      </c>
      <c r="AE19" s="58" t="s">
        <v>3</v>
      </c>
      <c r="AF19" s="58" t="s">
        <v>3</v>
      </c>
    </row>
    <row r="20" spans="1:32" ht="14.25" customHeight="1" thickBot="1">
      <c r="A20" s="62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</row>
    <row r="21" spans="1:32" ht="24" customHeight="1" thickTop="1">
      <c r="A21" s="98" t="s">
        <v>23</v>
      </c>
      <c r="B21" s="116">
        <f>1892+840</f>
        <v>2732</v>
      </c>
      <c r="C21" s="116">
        <f>2028+753</f>
        <v>2781</v>
      </c>
      <c r="D21" s="116">
        <f>1648+880</f>
        <v>2528</v>
      </c>
      <c r="E21" s="116">
        <f>1572+795</f>
        <v>2367</v>
      </c>
      <c r="F21" s="116">
        <f>1395+825</f>
        <v>2220</v>
      </c>
      <c r="G21" s="116">
        <v>833</v>
      </c>
      <c r="H21" s="116">
        <v>2682</v>
      </c>
      <c r="I21" s="116">
        <v>3075</v>
      </c>
      <c r="J21" s="117">
        <v>1953</v>
      </c>
      <c r="K21" s="117">
        <v>3302</v>
      </c>
      <c r="L21" s="118">
        <v>4701</v>
      </c>
      <c r="M21" s="119">
        <v>2418</v>
      </c>
      <c r="N21" s="119">
        <v>1998</v>
      </c>
      <c r="O21" s="119">
        <v>1686</v>
      </c>
      <c r="P21" s="119">
        <v>1511</v>
      </c>
      <c r="Q21" s="119">
        <v>4330</v>
      </c>
      <c r="R21" s="212">
        <v>2262</v>
      </c>
      <c r="S21" s="119">
        <v>6282</v>
      </c>
      <c r="T21" s="119">
        <v>1695</v>
      </c>
      <c r="U21" s="119">
        <v>2457</v>
      </c>
      <c r="V21" s="119">
        <v>1849</v>
      </c>
      <c r="W21" s="119">
        <v>2324</v>
      </c>
      <c r="X21" s="119">
        <v>-1012</v>
      </c>
      <c r="Y21" s="119">
        <v>605</v>
      </c>
      <c r="Z21" s="119">
        <v>2208</v>
      </c>
      <c r="AA21" s="119">
        <v>-2617</v>
      </c>
      <c r="AB21" s="119">
        <v>915</v>
      </c>
      <c r="AC21" s="119">
        <v>2067</v>
      </c>
      <c r="AD21" s="138">
        <v>232</v>
      </c>
      <c r="AE21" s="58" t="s">
        <v>3</v>
      </c>
      <c r="AF21" s="58" t="s">
        <v>3</v>
      </c>
    </row>
    <row r="22" spans="1:32" ht="24" customHeight="1">
      <c r="A22" s="26" t="s">
        <v>134</v>
      </c>
      <c r="B22" s="129">
        <f>+B19-B21</f>
        <v>8102</v>
      </c>
      <c r="C22" s="129">
        <f>+C19-C21</f>
        <v>2925</v>
      </c>
      <c r="D22" s="129">
        <v>4188</v>
      </c>
      <c r="E22" s="129">
        <v>5077</v>
      </c>
      <c r="F22" s="129">
        <v>7576</v>
      </c>
      <c r="G22" s="129">
        <v>243</v>
      </c>
      <c r="H22" s="129">
        <v>5102</v>
      </c>
      <c r="I22" s="129">
        <v>7983</v>
      </c>
      <c r="J22" s="130">
        <v>3315</v>
      </c>
      <c r="K22" s="130">
        <v>12047</v>
      </c>
      <c r="L22" s="133">
        <v>12008</v>
      </c>
      <c r="M22" s="131">
        <v>5993</v>
      </c>
      <c r="N22" s="131">
        <v>6412</v>
      </c>
      <c r="O22" s="131">
        <v>9752</v>
      </c>
      <c r="P22" s="131">
        <v>5107</v>
      </c>
      <c r="Q22" s="131">
        <v>10590</v>
      </c>
      <c r="R22" s="209">
        <v>4288</v>
      </c>
      <c r="S22" s="131">
        <v>6483</v>
      </c>
      <c r="T22" s="131">
        <v>6751</v>
      </c>
      <c r="U22" s="131">
        <v>7536</v>
      </c>
      <c r="V22" s="131">
        <v>7989</v>
      </c>
      <c r="W22" s="131">
        <v>12303</v>
      </c>
      <c r="X22" s="131">
        <v>1664</v>
      </c>
      <c r="Y22" s="131">
        <v>1836</v>
      </c>
      <c r="Z22" s="131">
        <v>7557</v>
      </c>
      <c r="AA22" s="131">
        <v>-11381</v>
      </c>
      <c r="AB22" s="131">
        <v>2398</v>
      </c>
      <c r="AC22" s="131">
        <v>11319</v>
      </c>
      <c r="AD22" s="137">
        <v>8366</v>
      </c>
    </row>
    <row r="23" spans="1:32" ht="14.25" customHeight="1" thickBot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21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2" ht="24" customHeight="1" thickTop="1">
      <c r="A24" s="97" t="s">
        <v>24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213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-350</v>
      </c>
      <c r="X24" s="108">
        <v>0</v>
      </c>
      <c r="Y24" s="108">
        <v>2312</v>
      </c>
      <c r="Z24" s="108">
        <v>172</v>
      </c>
      <c r="AA24" s="108">
        <v>1384</v>
      </c>
      <c r="AB24" s="108">
        <v>121</v>
      </c>
      <c r="AC24" s="108">
        <v>424</v>
      </c>
      <c r="AD24" s="108">
        <v>4326</v>
      </c>
    </row>
    <row r="25" spans="1:32" ht="24" customHeight="1">
      <c r="A25" s="26" t="s">
        <v>132</v>
      </c>
      <c r="B25" s="129">
        <f>+B22</f>
        <v>8102</v>
      </c>
      <c r="C25" s="129">
        <f>+C22</f>
        <v>2925</v>
      </c>
      <c r="D25" s="129">
        <v>4188</v>
      </c>
      <c r="E25" s="129">
        <v>5077</v>
      </c>
      <c r="F25" s="129">
        <v>7576</v>
      </c>
      <c r="G25" s="129">
        <v>243</v>
      </c>
      <c r="H25" s="129">
        <v>5102</v>
      </c>
      <c r="I25" s="129">
        <v>7983</v>
      </c>
      <c r="J25" s="129">
        <v>3315</v>
      </c>
      <c r="K25" s="129">
        <v>12047</v>
      </c>
      <c r="L25" s="129">
        <v>12008</v>
      </c>
      <c r="M25" s="129">
        <v>5993</v>
      </c>
      <c r="N25" s="129">
        <v>6412</v>
      </c>
      <c r="O25" s="129">
        <v>9752</v>
      </c>
      <c r="P25" s="129">
        <v>5107</v>
      </c>
      <c r="Q25" s="129">
        <v>10590</v>
      </c>
      <c r="R25" s="214">
        <v>4288</v>
      </c>
      <c r="S25" s="129">
        <v>6483</v>
      </c>
      <c r="T25" s="129">
        <v>6751</v>
      </c>
      <c r="U25" s="129">
        <v>7536</v>
      </c>
      <c r="V25" s="129">
        <v>7989</v>
      </c>
      <c r="W25" s="129">
        <v>11953</v>
      </c>
      <c r="X25" s="129">
        <v>1664</v>
      </c>
      <c r="Y25" s="129">
        <v>4148</v>
      </c>
      <c r="Z25" s="129">
        <v>7729</v>
      </c>
      <c r="AA25" s="129">
        <v>-9996</v>
      </c>
      <c r="AB25" s="129">
        <v>2519</v>
      </c>
      <c r="AC25" s="129">
        <v>11743</v>
      </c>
      <c r="AD25" s="130">
        <v>12691</v>
      </c>
    </row>
    <row r="26" spans="1:32" ht="12" customHeight="1">
      <c r="S26" s="90"/>
    </row>
    <row r="27" spans="1:32" ht="21" customHeight="1">
      <c r="A27" s="182" t="s">
        <v>129</v>
      </c>
      <c r="B27" s="182"/>
      <c r="S27" s="90"/>
    </row>
    <row r="28" spans="1:32" ht="24.75" customHeight="1">
      <c r="A28" s="123" t="s">
        <v>9</v>
      </c>
      <c r="B28" s="123"/>
      <c r="I28" s="67" t="s">
        <v>3</v>
      </c>
    </row>
    <row r="29" spans="1:32">
      <c r="Y29" s="58" t="s">
        <v>3</v>
      </c>
    </row>
    <row r="31" spans="1:32" ht="41.25" customHeight="1">
      <c r="S31" s="58" t="s">
        <v>3</v>
      </c>
    </row>
    <row r="53" spans="7:9">
      <c r="G53" s="58" t="s">
        <v>3</v>
      </c>
      <c r="H53" s="58" t="s">
        <v>3</v>
      </c>
      <c r="I53" s="58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view="pageBreakPreview" zoomScale="80" zoomScaleNormal="80" zoomScaleSheetLayoutView="80" zoomScalePageLayoutView="134" workbookViewId="0">
      <selection activeCell="F42" sqref="F42"/>
    </sheetView>
  </sheetViews>
  <sheetFormatPr defaultColWidth="11.5546875" defaultRowHeight="15"/>
  <cols>
    <col min="1" max="1" width="25.6640625" style="58" customWidth="1"/>
    <col min="2" max="14" width="11.5546875" style="58"/>
    <col min="15" max="15" width="17.6640625" style="58" customWidth="1"/>
    <col min="16" max="16384" width="11.5546875" style="58"/>
  </cols>
  <sheetData>
    <row r="1" spans="1:11" ht="24.75" customHeight="1">
      <c r="A1" s="82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4.75" customHeight="1">
      <c r="A2" s="150" t="s">
        <v>11</v>
      </c>
      <c r="B2" s="160">
        <v>43100</v>
      </c>
      <c r="C2" s="160">
        <v>42735</v>
      </c>
      <c r="D2" s="160">
        <v>42369</v>
      </c>
      <c r="E2" s="161">
        <v>42004</v>
      </c>
      <c r="F2" s="161">
        <v>41639</v>
      </c>
      <c r="G2" s="161">
        <v>41274</v>
      </c>
      <c r="H2" s="161">
        <v>40908</v>
      </c>
      <c r="I2" s="161">
        <v>40543</v>
      </c>
      <c r="J2" s="161">
        <v>40178</v>
      </c>
      <c r="K2" s="161">
        <v>39813</v>
      </c>
    </row>
    <row r="3" spans="1:11" ht="24" customHeight="1">
      <c r="A3" s="155" t="s">
        <v>49</v>
      </c>
      <c r="B3" s="156">
        <v>55192</v>
      </c>
      <c r="C3" s="156">
        <v>30662</v>
      </c>
      <c r="D3" s="156">
        <v>25164</v>
      </c>
      <c r="E3" s="157">
        <v>10160</v>
      </c>
      <c r="F3" s="158">
        <v>21520</v>
      </c>
      <c r="G3" s="159">
        <v>25898</v>
      </c>
      <c r="H3" s="159">
        <v>8823</v>
      </c>
      <c r="I3" s="159">
        <v>47777</v>
      </c>
      <c r="J3" s="183">
        <v>26174</v>
      </c>
      <c r="K3" s="159">
        <v>30071</v>
      </c>
    </row>
    <row r="4" spans="1:11" ht="24" customHeight="1">
      <c r="A4" s="47" t="s">
        <v>50</v>
      </c>
      <c r="B4" s="48">
        <v>117310</v>
      </c>
      <c r="C4" s="48">
        <v>154892</v>
      </c>
      <c r="D4" s="48">
        <v>203684</v>
      </c>
      <c r="E4" s="49">
        <v>243589</v>
      </c>
      <c r="F4" s="50">
        <v>290595</v>
      </c>
      <c r="G4" s="51">
        <v>228208</v>
      </c>
      <c r="H4" s="51">
        <v>221848</v>
      </c>
      <c r="I4" s="51">
        <v>161559</v>
      </c>
      <c r="J4" s="184">
        <v>165721</v>
      </c>
      <c r="K4" s="51">
        <v>189121</v>
      </c>
    </row>
    <row r="5" spans="1:11" ht="24" customHeight="1">
      <c r="A5" s="47" t="s">
        <v>51</v>
      </c>
      <c r="B5" s="48">
        <v>27980</v>
      </c>
      <c r="C5" s="48">
        <v>26688</v>
      </c>
      <c r="D5" s="48">
        <v>29192</v>
      </c>
      <c r="E5" s="49">
        <v>29433</v>
      </c>
      <c r="F5" s="50">
        <v>36275</v>
      </c>
      <c r="G5" s="51">
        <v>36881</v>
      </c>
      <c r="H5" s="51">
        <v>46037</v>
      </c>
      <c r="I5" s="51">
        <v>29429</v>
      </c>
      <c r="J5" s="184">
        <v>23411</v>
      </c>
      <c r="K5" s="51">
        <v>39681</v>
      </c>
    </row>
    <row r="6" spans="1:11" ht="24" customHeight="1">
      <c r="A6" s="47" t="s">
        <v>52</v>
      </c>
      <c r="B6" s="48">
        <v>44866</v>
      </c>
      <c r="C6" s="48">
        <v>20408</v>
      </c>
      <c r="D6" s="48">
        <v>20791</v>
      </c>
      <c r="E6" s="49">
        <v>49789</v>
      </c>
      <c r="F6" s="50">
        <v>67916</v>
      </c>
      <c r="G6" s="51">
        <v>64349</v>
      </c>
      <c r="H6" s="51">
        <v>100133</v>
      </c>
      <c r="I6" s="51">
        <v>91882</v>
      </c>
      <c r="J6" s="184">
        <v>83129</v>
      </c>
      <c r="K6" s="51">
        <v>8845</v>
      </c>
    </row>
    <row r="7" spans="1:11" ht="24" customHeight="1">
      <c r="A7" s="47" t="s">
        <v>53</v>
      </c>
      <c r="B7" s="48">
        <v>925636</v>
      </c>
      <c r="C7" s="48">
        <v>853417</v>
      </c>
      <c r="D7" s="48">
        <v>811549</v>
      </c>
      <c r="E7" s="49">
        <v>718355</v>
      </c>
      <c r="F7" s="50">
        <v>680468</v>
      </c>
      <c r="G7" s="51">
        <v>666087</v>
      </c>
      <c r="H7" s="51">
        <v>639130</v>
      </c>
      <c r="I7" s="51">
        <v>592954</v>
      </c>
      <c r="J7" s="184">
        <v>667122</v>
      </c>
      <c r="K7" s="51">
        <v>705182</v>
      </c>
    </row>
    <row r="8" spans="1:11" ht="24" customHeight="1">
      <c r="A8" s="47" t="s">
        <v>54</v>
      </c>
      <c r="B8" s="48">
        <v>18238</v>
      </c>
      <c r="C8" s="48">
        <v>17641</v>
      </c>
      <c r="D8" s="48">
        <v>16323</v>
      </c>
      <c r="E8" s="49">
        <v>28832</v>
      </c>
      <c r="F8" s="50">
        <v>29719</v>
      </c>
      <c r="G8" s="51">
        <v>38044</v>
      </c>
      <c r="H8" s="51">
        <v>65959</v>
      </c>
      <c r="I8" s="51">
        <v>28743</v>
      </c>
      <c r="J8" s="184">
        <v>31666</v>
      </c>
      <c r="K8" s="51">
        <v>56907</v>
      </c>
    </row>
    <row r="9" spans="1:11" ht="24" customHeight="1">
      <c r="A9" s="47" t="s">
        <v>55</v>
      </c>
      <c r="B9" s="48">
        <v>3648</v>
      </c>
      <c r="C9" s="48">
        <v>7449</v>
      </c>
      <c r="D9" s="48">
        <v>11955</v>
      </c>
      <c r="E9" s="49">
        <v>18212</v>
      </c>
      <c r="F9" s="50">
        <v>25023</v>
      </c>
      <c r="G9" s="51">
        <v>25320</v>
      </c>
      <c r="H9" s="51">
        <v>53552</v>
      </c>
      <c r="I9" s="51">
        <v>128789</v>
      </c>
      <c r="J9" s="184">
        <v>63878</v>
      </c>
      <c r="K9" s="51">
        <v>7584</v>
      </c>
    </row>
    <row r="10" spans="1:11" ht="24" customHeight="1">
      <c r="A10" s="26" t="s">
        <v>56</v>
      </c>
      <c r="B10" s="125">
        <f>SUM(B3:B9)</f>
        <v>1192870</v>
      </c>
      <c r="C10" s="125">
        <v>1111157</v>
      </c>
      <c r="D10" s="125">
        <v>1118658</v>
      </c>
      <c r="E10" s="126">
        <v>1098370</v>
      </c>
      <c r="F10" s="127">
        <v>1151516</v>
      </c>
      <c r="G10" s="128">
        <v>1084787</v>
      </c>
      <c r="H10" s="128">
        <v>1135482</v>
      </c>
      <c r="I10" s="128">
        <v>1081133</v>
      </c>
      <c r="J10" s="185">
        <v>1061101</v>
      </c>
      <c r="K10" s="128">
        <v>1037391</v>
      </c>
    </row>
    <row r="11" spans="1:11" ht="24" customHeight="1" thickBot="1">
      <c r="A11" s="65"/>
      <c r="B11" s="71"/>
      <c r="C11" s="71"/>
      <c r="D11" s="71"/>
      <c r="E11" s="71"/>
      <c r="F11" s="72"/>
      <c r="G11" s="72"/>
      <c r="H11" s="72"/>
      <c r="I11" s="72"/>
      <c r="J11" s="72"/>
      <c r="K11" s="72"/>
    </row>
    <row r="12" spans="1:11" ht="24" customHeight="1" thickTop="1">
      <c r="A12" s="63" t="s">
        <v>57</v>
      </c>
      <c r="B12" s="68">
        <v>32062</v>
      </c>
      <c r="C12" s="68">
        <v>20093</v>
      </c>
      <c r="D12" s="68">
        <v>56731</v>
      </c>
      <c r="E12" s="69">
        <v>53827</v>
      </c>
      <c r="F12" s="70">
        <v>167218</v>
      </c>
      <c r="G12" s="57">
        <v>98718</v>
      </c>
      <c r="H12" s="57">
        <v>112876</v>
      </c>
      <c r="I12" s="57">
        <v>147478</v>
      </c>
      <c r="J12" s="186">
        <v>98228</v>
      </c>
      <c r="K12" s="57">
        <v>132219</v>
      </c>
    </row>
    <row r="13" spans="1:11" ht="24" customHeight="1">
      <c r="A13" s="47" t="s">
        <v>58</v>
      </c>
      <c r="B13" s="48">
        <v>605158</v>
      </c>
      <c r="C13" s="48">
        <v>589725</v>
      </c>
      <c r="D13" s="48">
        <v>559051</v>
      </c>
      <c r="E13" s="49">
        <v>551435</v>
      </c>
      <c r="F13" s="50">
        <v>456662</v>
      </c>
      <c r="G13" s="51">
        <v>421058</v>
      </c>
      <c r="H13" s="51">
        <v>443590</v>
      </c>
      <c r="I13" s="51">
        <v>371558</v>
      </c>
      <c r="J13" s="184">
        <v>452655</v>
      </c>
      <c r="K13" s="51">
        <v>431006</v>
      </c>
    </row>
    <row r="14" spans="1:11" ht="24" customHeight="1">
      <c r="A14" s="47" t="s">
        <v>59</v>
      </c>
      <c r="B14" s="48">
        <v>281874</v>
      </c>
      <c r="C14" s="48">
        <v>223944</v>
      </c>
      <c r="D14" s="48">
        <v>209344</v>
      </c>
      <c r="E14" s="49">
        <v>207028</v>
      </c>
      <c r="F14" s="50">
        <v>239642</v>
      </c>
      <c r="G14" s="51">
        <v>309265</v>
      </c>
      <c r="H14" s="51">
        <v>337902</v>
      </c>
      <c r="I14" s="51">
        <v>287823</v>
      </c>
      <c r="J14" s="184">
        <v>316734</v>
      </c>
      <c r="K14" s="51">
        <v>305056</v>
      </c>
    </row>
    <row r="15" spans="1:11" ht="24" customHeight="1">
      <c r="A15" s="47" t="s">
        <v>61</v>
      </c>
      <c r="B15" s="48">
        <v>27615</v>
      </c>
      <c r="C15" s="48">
        <v>24681</v>
      </c>
      <c r="D15" s="48">
        <v>26844</v>
      </c>
      <c r="E15" s="49">
        <v>32443</v>
      </c>
      <c r="F15" s="50">
        <v>42750</v>
      </c>
      <c r="G15" s="51">
        <v>29687</v>
      </c>
      <c r="H15" s="51">
        <v>31485</v>
      </c>
      <c r="I15" s="51">
        <v>27800</v>
      </c>
      <c r="J15" s="184">
        <v>14203</v>
      </c>
      <c r="K15" s="51">
        <v>21385</v>
      </c>
    </row>
    <row r="16" spans="1:11" ht="24" customHeight="1">
      <c r="A16" s="47" t="s">
        <v>62</v>
      </c>
      <c r="B16" s="48">
        <v>27</v>
      </c>
      <c r="C16" s="48">
        <v>1095</v>
      </c>
      <c r="D16" s="48">
        <v>1518</v>
      </c>
      <c r="E16" s="49">
        <v>2834</v>
      </c>
      <c r="F16" s="50">
        <v>3885</v>
      </c>
      <c r="G16" s="76">
        <v>893</v>
      </c>
      <c r="H16" s="50">
        <v>9385</v>
      </c>
      <c r="I16" s="50">
        <v>61609</v>
      </c>
      <c r="J16" s="184">
        <v>21689</v>
      </c>
      <c r="K16" s="50">
        <v>4440</v>
      </c>
    </row>
    <row r="17" spans="1:11" ht="24" customHeight="1">
      <c r="A17" s="47" t="s">
        <v>60</v>
      </c>
      <c r="B17" s="73">
        <v>77</v>
      </c>
      <c r="C17" s="73">
        <v>388</v>
      </c>
      <c r="D17" s="73">
        <v>639</v>
      </c>
      <c r="E17" s="74">
        <v>0</v>
      </c>
      <c r="F17" s="75">
        <v>0</v>
      </c>
      <c r="G17" s="76">
        <v>0</v>
      </c>
      <c r="H17" s="76">
        <v>0</v>
      </c>
      <c r="I17" s="76">
        <v>0</v>
      </c>
      <c r="J17" s="187">
        <v>0</v>
      </c>
      <c r="K17" s="76">
        <v>0</v>
      </c>
    </row>
    <row r="18" spans="1:11" ht="24" customHeight="1">
      <c r="A18" s="47" t="s">
        <v>63</v>
      </c>
      <c r="B18" s="48">
        <v>246057</v>
      </c>
      <c r="C18" s="48">
        <v>251231</v>
      </c>
      <c r="D18" s="48">
        <v>264531</v>
      </c>
      <c r="E18" s="49">
        <v>250803</v>
      </c>
      <c r="F18" s="50">
        <v>241359</v>
      </c>
      <c r="G18" s="51">
        <v>225166</v>
      </c>
      <c r="H18" s="51">
        <v>200244</v>
      </c>
      <c r="I18" s="51">
        <v>184866</v>
      </c>
      <c r="J18" s="184">
        <v>157592</v>
      </c>
      <c r="K18" s="51">
        <v>143285</v>
      </c>
    </row>
    <row r="19" spans="1:11" ht="24" customHeight="1">
      <c r="A19" s="26" t="s">
        <v>56</v>
      </c>
      <c r="B19" s="125">
        <f>SUM(B12:B18)</f>
        <v>1192870</v>
      </c>
      <c r="C19" s="125">
        <v>1111157</v>
      </c>
      <c r="D19" s="125">
        <v>1118658</v>
      </c>
      <c r="E19" s="126">
        <v>1098370</v>
      </c>
      <c r="F19" s="127">
        <v>1151516</v>
      </c>
      <c r="G19" s="128">
        <v>1084787</v>
      </c>
      <c r="H19" s="128">
        <v>1135482</v>
      </c>
      <c r="I19" s="128">
        <v>1081133</v>
      </c>
      <c r="J19" s="185">
        <v>1061101</v>
      </c>
      <c r="K19" s="128">
        <v>1037391</v>
      </c>
    </row>
    <row r="20" spans="1:11" ht="12.75" customHeight="1">
      <c r="J20" s="90"/>
      <c r="K20" s="90"/>
    </row>
    <row r="21" spans="1:11" ht="24" customHeight="1">
      <c r="A21" s="182" t="s">
        <v>129</v>
      </c>
      <c r="J21" s="90"/>
      <c r="K21" s="90"/>
    </row>
    <row r="22" spans="1:11" ht="24" customHeight="1">
      <c r="A22" s="123" t="s">
        <v>9</v>
      </c>
    </row>
    <row r="23" spans="1:11" ht="24" customHeight="1"/>
    <row r="31" spans="1:11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7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D31"/>
  <sheetViews>
    <sheetView view="pageBreakPreview" zoomScale="90" zoomScaleNormal="80" zoomScaleSheetLayoutView="90" zoomScalePageLayoutView="134" workbookViewId="0">
      <selection activeCell="B14" sqref="B14"/>
    </sheetView>
  </sheetViews>
  <sheetFormatPr defaultColWidth="11.5546875" defaultRowHeight="15"/>
  <cols>
    <col min="1" max="1" width="25.6640625" style="58" customWidth="1"/>
    <col min="2" max="2" width="8.21875" style="58" customWidth="1"/>
    <col min="3" max="3" width="8.21875" style="58" bestFit="1" customWidth="1"/>
    <col min="4" max="6" width="7.77734375" style="58" customWidth="1"/>
    <col min="7" max="7" width="8.21875" style="58" bestFit="1" customWidth="1"/>
    <col min="8" max="10" width="7.77734375" style="58" customWidth="1"/>
    <col min="11" max="11" width="8.21875" style="58" bestFit="1" customWidth="1"/>
    <col min="12" max="14" width="7.77734375" style="58" customWidth="1"/>
    <col min="15" max="15" width="8.21875" style="58" bestFit="1" customWidth="1"/>
    <col min="16" max="16" width="7.6640625" style="58" bestFit="1" customWidth="1"/>
    <col min="17" max="18" width="7.77734375" style="58" customWidth="1"/>
    <col min="19" max="19" width="8.21875" style="58" bestFit="1" customWidth="1"/>
    <col min="20" max="30" width="7.77734375" style="58" customWidth="1"/>
    <col min="31" max="16384" width="11.5546875" style="58"/>
  </cols>
  <sheetData>
    <row r="1" spans="1:30" ht="24.75" customHeight="1">
      <c r="A1" s="82" t="s">
        <v>48</v>
      </c>
      <c r="B1" s="8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ht="24.75" customHeight="1">
      <c r="A2" s="150" t="s">
        <v>11</v>
      </c>
      <c r="B2" s="161">
        <v>43190</v>
      </c>
      <c r="C2" s="161">
        <v>43100</v>
      </c>
      <c r="D2" s="161">
        <v>43008</v>
      </c>
      <c r="E2" s="161">
        <v>42916</v>
      </c>
      <c r="F2" s="161">
        <v>42825</v>
      </c>
      <c r="G2" s="161">
        <v>42735</v>
      </c>
      <c r="H2" s="161">
        <v>42643</v>
      </c>
      <c r="I2" s="161">
        <v>42551</v>
      </c>
      <c r="J2" s="161">
        <v>42460</v>
      </c>
      <c r="K2" s="161">
        <v>42369</v>
      </c>
      <c r="L2" s="161">
        <v>42277</v>
      </c>
      <c r="M2" s="161">
        <v>42185</v>
      </c>
      <c r="N2" s="161">
        <v>42094</v>
      </c>
      <c r="O2" s="161">
        <v>42004</v>
      </c>
      <c r="P2" s="161">
        <v>41912</v>
      </c>
      <c r="Q2" s="161">
        <v>41820</v>
      </c>
      <c r="R2" s="161">
        <v>41729</v>
      </c>
      <c r="S2" s="161">
        <v>41639</v>
      </c>
      <c r="T2" s="161">
        <v>41547</v>
      </c>
      <c r="U2" s="161">
        <v>41455</v>
      </c>
      <c r="V2" s="161">
        <v>41364</v>
      </c>
      <c r="W2" s="161">
        <v>41274</v>
      </c>
      <c r="X2" s="161">
        <v>41182</v>
      </c>
      <c r="Y2" s="161">
        <v>41090</v>
      </c>
      <c r="Z2" s="161">
        <v>40999</v>
      </c>
      <c r="AA2" s="161">
        <v>40908</v>
      </c>
      <c r="AB2" s="161">
        <v>40816</v>
      </c>
      <c r="AC2" s="161">
        <v>40724</v>
      </c>
      <c r="AD2" s="161">
        <v>40633</v>
      </c>
    </row>
    <row r="3" spans="1:30" ht="24" customHeight="1">
      <c r="A3" s="155" t="s">
        <v>49</v>
      </c>
      <c r="B3" s="162">
        <v>82266</v>
      </c>
      <c r="C3" s="162">
        <v>55192</v>
      </c>
      <c r="D3" s="162">
        <v>33157</v>
      </c>
      <c r="E3" s="162">
        <v>32216</v>
      </c>
      <c r="F3" s="162">
        <v>35826</v>
      </c>
      <c r="G3" s="162">
        <v>30662</v>
      </c>
      <c r="H3" s="162">
        <v>52822</v>
      </c>
      <c r="I3" s="162">
        <v>43997</v>
      </c>
      <c r="J3" s="162">
        <v>23228</v>
      </c>
      <c r="K3" s="156">
        <v>25164</v>
      </c>
      <c r="L3" s="157">
        <v>27120</v>
      </c>
      <c r="M3" s="157">
        <v>38719</v>
      </c>
      <c r="N3" s="157">
        <v>14347</v>
      </c>
      <c r="O3" s="157">
        <v>10160</v>
      </c>
      <c r="P3" s="157">
        <v>38820</v>
      </c>
      <c r="Q3" s="157">
        <v>7964</v>
      </c>
      <c r="R3" s="157">
        <v>34024</v>
      </c>
      <c r="S3" s="157">
        <v>21520</v>
      </c>
      <c r="T3" s="157">
        <v>36024</v>
      </c>
      <c r="U3" s="157">
        <v>23643</v>
      </c>
      <c r="V3" s="157">
        <v>21966</v>
      </c>
      <c r="W3" s="159">
        <v>25898</v>
      </c>
      <c r="X3" s="159">
        <v>25235</v>
      </c>
      <c r="Y3" s="159">
        <v>16364</v>
      </c>
      <c r="Z3" s="159">
        <v>25494</v>
      </c>
      <c r="AA3" s="159">
        <v>8823</v>
      </c>
      <c r="AB3" s="159">
        <v>22229</v>
      </c>
      <c r="AC3" s="159">
        <v>30374</v>
      </c>
      <c r="AD3" s="159">
        <v>34256</v>
      </c>
    </row>
    <row r="4" spans="1:30" ht="24" customHeight="1">
      <c r="A4" s="47" t="s">
        <v>50</v>
      </c>
      <c r="B4" s="31">
        <v>100216</v>
      </c>
      <c r="C4" s="31">
        <v>117310</v>
      </c>
      <c r="D4" s="31">
        <v>160223</v>
      </c>
      <c r="E4" s="31">
        <v>162520</v>
      </c>
      <c r="F4" s="31">
        <v>147992</v>
      </c>
      <c r="G4" s="31">
        <v>154892</v>
      </c>
      <c r="H4" s="31">
        <v>168029</v>
      </c>
      <c r="I4" s="31">
        <v>157898</v>
      </c>
      <c r="J4" s="31">
        <v>195175</v>
      </c>
      <c r="K4" s="48">
        <v>203684</v>
      </c>
      <c r="L4" s="49">
        <v>235788</v>
      </c>
      <c r="M4" s="49">
        <v>248604</v>
      </c>
      <c r="N4" s="49">
        <v>250005</v>
      </c>
      <c r="O4" s="49">
        <v>243589</v>
      </c>
      <c r="P4" s="49">
        <v>293796</v>
      </c>
      <c r="Q4" s="49">
        <v>297141</v>
      </c>
      <c r="R4" s="49">
        <v>284418</v>
      </c>
      <c r="S4" s="49">
        <v>290595</v>
      </c>
      <c r="T4" s="49">
        <v>288994</v>
      </c>
      <c r="U4" s="49">
        <v>278386</v>
      </c>
      <c r="V4" s="49">
        <v>248571</v>
      </c>
      <c r="W4" s="51">
        <v>228208</v>
      </c>
      <c r="X4" s="51">
        <v>217485</v>
      </c>
      <c r="Y4" s="51">
        <v>203863</v>
      </c>
      <c r="Z4" s="51">
        <v>202195</v>
      </c>
      <c r="AA4" s="51">
        <v>221848</v>
      </c>
      <c r="AB4" s="51">
        <v>215008</v>
      </c>
      <c r="AC4" s="51">
        <v>185417</v>
      </c>
      <c r="AD4" s="51">
        <v>166008</v>
      </c>
    </row>
    <row r="5" spans="1:30" ht="24" customHeight="1">
      <c r="A5" s="47" t="s">
        <v>51</v>
      </c>
      <c r="B5" s="31">
        <v>25666</v>
      </c>
      <c r="C5" s="31">
        <v>27980</v>
      </c>
      <c r="D5" s="31">
        <v>31049</v>
      </c>
      <c r="E5" s="31">
        <v>30934</v>
      </c>
      <c r="F5" s="31">
        <v>30868</v>
      </c>
      <c r="G5" s="31">
        <v>26688</v>
      </c>
      <c r="H5" s="31">
        <v>30896</v>
      </c>
      <c r="I5" s="31">
        <v>29042</v>
      </c>
      <c r="J5" s="31">
        <v>29381</v>
      </c>
      <c r="K5" s="48">
        <v>29192</v>
      </c>
      <c r="L5" s="49">
        <v>26467</v>
      </c>
      <c r="M5" s="49">
        <v>25498</v>
      </c>
      <c r="N5" s="49">
        <v>33354</v>
      </c>
      <c r="O5" s="49">
        <v>29433</v>
      </c>
      <c r="P5" s="49">
        <v>40991</v>
      </c>
      <c r="Q5" s="49">
        <v>42221</v>
      </c>
      <c r="R5" s="49">
        <v>36414</v>
      </c>
      <c r="S5" s="49">
        <v>36275</v>
      </c>
      <c r="T5" s="49">
        <v>33954</v>
      </c>
      <c r="U5" s="49">
        <v>34029</v>
      </c>
      <c r="V5" s="49">
        <v>32549</v>
      </c>
      <c r="W5" s="51">
        <v>36881</v>
      </c>
      <c r="X5" s="51">
        <v>33198</v>
      </c>
      <c r="Y5" s="51">
        <v>38161</v>
      </c>
      <c r="Z5" s="51">
        <v>42803</v>
      </c>
      <c r="AA5" s="51">
        <v>46037</v>
      </c>
      <c r="AB5" s="51">
        <v>28801</v>
      </c>
      <c r="AC5" s="51">
        <v>38461</v>
      </c>
      <c r="AD5" s="51">
        <v>38043</v>
      </c>
    </row>
    <row r="6" spans="1:30" ht="24" customHeight="1">
      <c r="A6" s="47" t="s">
        <v>52</v>
      </c>
      <c r="B6" s="31">
        <v>41796</v>
      </c>
      <c r="C6" s="31">
        <v>44866</v>
      </c>
      <c r="D6" s="31">
        <v>41485</v>
      </c>
      <c r="E6" s="31">
        <v>49292</v>
      </c>
      <c r="F6" s="31">
        <v>70230</v>
      </c>
      <c r="G6" s="31">
        <v>20408</v>
      </c>
      <c r="H6" s="31">
        <v>16835</v>
      </c>
      <c r="I6" s="31">
        <v>21885</v>
      </c>
      <c r="J6" s="31">
        <v>15221</v>
      </c>
      <c r="K6" s="48">
        <v>20791</v>
      </c>
      <c r="L6" s="49">
        <v>46511</v>
      </c>
      <c r="M6" s="49">
        <v>68707</v>
      </c>
      <c r="N6" s="49">
        <v>86951</v>
      </c>
      <c r="O6" s="49">
        <v>49789</v>
      </c>
      <c r="P6" s="49">
        <v>68192</v>
      </c>
      <c r="Q6" s="49">
        <v>67163</v>
      </c>
      <c r="R6" s="49">
        <v>63896</v>
      </c>
      <c r="S6" s="49">
        <v>67916</v>
      </c>
      <c r="T6" s="49">
        <v>70545</v>
      </c>
      <c r="U6" s="49">
        <v>70671</v>
      </c>
      <c r="V6" s="49">
        <v>56551</v>
      </c>
      <c r="W6" s="51">
        <v>64349</v>
      </c>
      <c r="X6" s="51">
        <v>60787</v>
      </c>
      <c r="Y6" s="51">
        <v>59529</v>
      </c>
      <c r="Z6" s="51">
        <v>130946</v>
      </c>
      <c r="AA6" s="51">
        <v>100133</v>
      </c>
      <c r="AB6" s="51">
        <v>81616</v>
      </c>
      <c r="AC6" s="51">
        <v>97597</v>
      </c>
      <c r="AD6" s="51">
        <v>104422</v>
      </c>
    </row>
    <row r="7" spans="1:30" ht="24" customHeight="1">
      <c r="A7" s="47" t="s">
        <v>53</v>
      </c>
      <c r="B7" s="31">
        <v>936636</v>
      </c>
      <c r="C7" s="31">
        <v>925636</v>
      </c>
      <c r="D7" s="31">
        <v>905927</v>
      </c>
      <c r="E7" s="31">
        <v>870483</v>
      </c>
      <c r="F7" s="31">
        <v>872350</v>
      </c>
      <c r="G7" s="31">
        <v>853417</v>
      </c>
      <c r="H7" s="31">
        <v>837494</v>
      </c>
      <c r="I7" s="31">
        <v>827241</v>
      </c>
      <c r="J7" s="31">
        <v>814669</v>
      </c>
      <c r="K7" s="48">
        <v>811549</v>
      </c>
      <c r="L7" s="49">
        <v>807033</v>
      </c>
      <c r="M7" s="49">
        <v>761290</v>
      </c>
      <c r="N7" s="49">
        <v>735479</v>
      </c>
      <c r="O7" s="49">
        <v>718355</v>
      </c>
      <c r="P7" s="49">
        <v>719627</v>
      </c>
      <c r="Q7" s="49">
        <v>699648</v>
      </c>
      <c r="R7" s="49">
        <v>681883</v>
      </c>
      <c r="S7" s="49">
        <v>680468</v>
      </c>
      <c r="T7" s="49">
        <v>671378</v>
      </c>
      <c r="U7" s="49">
        <v>665411</v>
      </c>
      <c r="V7" s="49">
        <v>663719</v>
      </c>
      <c r="W7" s="51">
        <v>666087</v>
      </c>
      <c r="X7" s="51">
        <v>657050</v>
      </c>
      <c r="Y7" s="51">
        <v>666890</v>
      </c>
      <c r="Z7" s="51">
        <v>653949</v>
      </c>
      <c r="AA7" s="51">
        <v>639130</v>
      </c>
      <c r="AB7" s="51">
        <v>643880</v>
      </c>
      <c r="AC7" s="51">
        <v>653189</v>
      </c>
      <c r="AD7" s="51">
        <v>621896</v>
      </c>
    </row>
    <row r="8" spans="1:30" ht="24" customHeight="1">
      <c r="A8" s="47" t="s">
        <v>54</v>
      </c>
      <c r="B8" s="31">
        <v>17455</v>
      </c>
      <c r="C8" s="31">
        <v>18238</v>
      </c>
      <c r="D8" s="31">
        <f>1787+1096+5228+2969+11660</f>
        <v>22740</v>
      </c>
      <c r="E8" s="31">
        <f>2615+1291+5279+2874+54+8204</f>
        <v>20317</v>
      </c>
      <c r="F8" s="31">
        <f>536+1199+5372+2649+9253</f>
        <v>19009</v>
      </c>
      <c r="G8" s="31">
        <v>17641</v>
      </c>
      <c r="H8" s="31">
        <v>19653</v>
      </c>
      <c r="I8" s="31">
        <v>21523</v>
      </c>
      <c r="J8" s="31">
        <v>21255</v>
      </c>
      <c r="K8" s="48">
        <v>16323</v>
      </c>
      <c r="L8" s="49">
        <v>20070</v>
      </c>
      <c r="M8" s="49">
        <v>17104</v>
      </c>
      <c r="N8" s="49">
        <v>34638</v>
      </c>
      <c r="O8" s="49">
        <v>28832</v>
      </c>
      <c r="P8" s="49">
        <v>20222</v>
      </c>
      <c r="Q8" s="49">
        <v>18342</v>
      </c>
      <c r="R8" s="49">
        <v>28615</v>
      </c>
      <c r="S8" s="49">
        <v>29719</v>
      </c>
      <c r="T8" s="49">
        <v>31325</v>
      </c>
      <c r="U8" s="49">
        <v>34219</v>
      </c>
      <c r="V8" s="49">
        <v>36396</v>
      </c>
      <c r="W8" s="51">
        <v>38044</v>
      </c>
      <c r="X8" s="51">
        <v>37688</v>
      </c>
      <c r="Y8" s="51">
        <v>37082</v>
      </c>
      <c r="Z8" s="51">
        <v>66771</v>
      </c>
      <c r="AA8" s="51">
        <v>65959</v>
      </c>
      <c r="AB8" s="51">
        <v>78735</v>
      </c>
      <c r="AC8" s="51">
        <v>66582</v>
      </c>
      <c r="AD8" s="51">
        <v>93543</v>
      </c>
    </row>
    <row r="9" spans="1:30" ht="24" customHeight="1">
      <c r="A9" s="47" t="s">
        <v>55</v>
      </c>
      <c r="B9" s="31">
        <v>2113</v>
      </c>
      <c r="C9" s="31">
        <v>3648</v>
      </c>
      <c r="D9" s="31">
        <v>4377</v>
      </c>
      <c r="E9" s="31">
        <v>4866</v>
      </c>
      <c r="F9" s="31">
        <v>6192</v>
      </c>
      <c r="G9" s="31">
        <v>7449</v>
      </c>
      <c r="H9" s="31">
        <v>8073</v>
      </c>
      <c r="I9" s="31">
        <v>8258</v>
      </c>
      <c r="J9" s="31">
        <v>7771</v>
      </c>
      <c r="K9" s="48">
        <v>11955</v>
      </c>
      <c r="L9" s="49">
        <v>12815</v>
      </c>
      <c r="M9" s="49">
        <v>12747</v>
      </c>
      <c r="N9" s="49">
        <v>17606</v>
      </c>
      <c r="O9" s="49">
        <v>18212</v>
      </c>
      <c r="P9" s="49">
        <v>19599</v>
      </c>
      <c r="Q9" s="49">
        <v>22119</v>
      </c>
      <c r="R9" s="49">
        <v>24554</v>
      </c>
      <c r="S9" s="49">
        <v>25023</v>
      </c>
      <c r="T9" s="49">
        <v>25934</v>
      </c>
      <c r="U9" s="49">
        <v>19735</v>
      </c>
      <c r="V9" s="49">
        <v>25653</v>
      </c>
      <c r="W9" s="51">
        <v>25320</v>
      </c>
      <c r="X9" s="51">
        <v>25382</v>
      </c>
      <c r="Y9" s="51">
        <v>26684</v>
      </c>
      <c r="Z9" s="51">
        <v>52104</v>
      </c>
      <c r="AA9" s="51">
        <v>53552</v>
      </c>
      <c r="AB9" s="51">
        <v>53981</v>
      </c>
      <c r="AC9" s="51">
        <v>54661</v>
      </c>
      <c r="AD9" s="51">
        <v>47422</v>
      </c>
    </row>
    <row r="10" spans="1:30" ht="24" customHeight="1">
      <c r="A10" s="26" t="s">
        <v>56</v>
      </c>
      <c r="B10" s="27">
        <f>SUM(B3:B9)</f>
        <v>1206148</v>
      </c>
      <c r="C10" s="27">
        <f>SUM(C3:C9)</f>
        <v>1192870</v>
      </c>
      <c r="D10" s="27">
        <v>1198958</v>
      </c>
      <c r="E10" s="27">
        <v>1170628</v>
      </c>
      <c r="F10" s="27">
        <v>1182467</v>
      </c>
      <c r="G10" s="27">
        <v>1111157</v>
      </c>
      <c r="H10" s="27">
        <v>1133802</v>
      </c>
      <c r="I10" s="27">
        <v>1109844</v>
      </c>
      <c r="J10" s="27">
        <v>1106700</v>
      </c>
      <c r="K10" s="125">
        <v>1118658</v>
      </c>
      <c r="L10" s="126">
        <v>1175804</v>
      </c>
      <c r="M10" s="126">
        <v>1172669</v>
      </c>
      <c r="N10" s="126">
        <v>1172380</v>
      </c>
      <c r="O10" s="126">
        <v>1098370</v>
      </c>
      <c r="P10" s="126">
        <v>1201247</v>
      </c>
      <c r="Q10" s="126">
        <v>1154598</v>
      </c>
      <c r="R10" s="126">
        <v>1153804</v>
      </c>
      <c r="S10" s="126">
        <v>1151516</v>
      </c>
      <c r="T10" s="126">
        <v>1158154</v>
      </c>
      <c r="U10" s="126">
        <v>1126094</v>
      </c>
      <c r="V10" s="126">
        <v>1085405</v>
      </c>
      <c r="W10" s="128">
        <v>1084787</v>
      </c>
      <c r="X10" s="128">
        <v>1056825</v>
      </c>
      <c r="Y10" s="128">
        <v>1048573</v>
      </c>
      <c r="Z10" s="128">
        <v>1174262</v>
      </c>
      <c r="AA10" s="128">
        <v>1135482</v>
      </c>
      <c r="AB10" s="128">
        <v>1124250</v>
      </c>
      <c r="AC10" s="128">
        <v>1126281</v>
      </c>
      <c r="AD10" s="128">
        <v>1105590</v>
      </c>
    </row>
    <row r="11" spans="1:30" ht="24" customHeight="1" thickBot="1">
      <c r="A11" s="65"/>
      <c r="B11" s="32"/>
      <c r="C11" s="32"/>
      <c r="D11" s="32"/>
      <c r="E11" s="32"/>
      <c r="F11" s="32"/>
      <c r="G11" s="32"/>
      <c r="H11" s="32"/>
      <c r="I11" s="3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X11" s="72"/>
      <c r="Y11" s="72"/>
      <c r="Z11" s="72"/>
      <c r="AA11" s="72" t="s">
        <v>3</v>
      </c>
      <c r="AB11" s="72" t="s">
        <v>3</v>
      </c>
      <c r="AC11" s="72" t="s">
        <v>3</v>
      </c>
      <c r="AD11" s="72" t="s">
        <v>3</v>
      </c>
    </row>
    <row r="12" spans="1:30" ht="24" customHeight="1" thickTop="1">
      <c r="A12" s="63" t="s">
        <v>57</v>
      </c>
      <c r="B12" s="30">
        <v>30943</v>
      </c>
      <c r="C12" s="30">
        <v>32062</v>
      </c>
      <c r="D12" s="30">
        <v>21946</v>
      </c>
      <c r="E12" s="30">
        <v>23486</v>
      </c>
      <c r="F12" s="30">
        <v>31613</v>
      </c>
      <c r="G12" s="30">
        <v>20093</v>
      </c>
      <c r="H12" s="30">
        <v>41307</v>
      </c>
      <c r="I12" s="30">
        <v>34643</v>
      </c>
      <c r="J12" s="68">
        <v>42606</v>
      </c>
      <c r="K12" s="68">
        <v>56731</v>
      </c>
      <c r="L12" s="69">
        <v>49550</v>
      </c>
      <c r="M12" s="69">
        <v>62428</v>
      </c>
      <c r="N12" s="69">
        <v>57019</v>
      </c>
      <c r="O12" s="69">
        <v>53827</v>
      </c>
      <c r="P12" s="69">
        <v>179085</v>
      </c>
      <c r="Q12" s="69">
        <v>166172</v>
      </c>
      <c r="R12" s="69">
        <v>174031</v>
      </c>
      <c r="S12" s="69">
        <v>167218</v>
      </c>
      <c r="T12" s="69">
        <v>110460</v>
      </c>
      <c r="U12" s="69">
        <v>110025</v>
      </c>
      <c r="V12" s="69">
        <v>97352</v>
      </c>
      <c r="W12" s="57">
        <v>98718</v>
      </c>
      <c r="X12" s="57">
        <v>90206</v>
      </c>
      <c r="Y12" s="57">
        <v>91018</v>
      </c>
      <c r="Z12" s="57">
        <v>115300</v>
      </c>
      <c r="AA12" s="57">
        <v>112876</v>
      </c>
      <c r="AB12" s="57">
        <v>112642</v>
      </c>
      <c r="AC12" s="57">
        <v>134542</v>
      </c>
      <c r="AD12" s="57">
        <v>131648</v>
      </c>
    </row>
    <row r="13" spans="1:30" ht="24" customHeight="1">
      <c r="A13" s="47" t="s">
        <v>58</v>
      </c>
      <c r="B13" s="31">
        <v>622021</v>
      </c>
      <c r="C13" s="31">
        <v>605158</v>
      </c>
      <c r="D13" s="31">
        <v>638781</v>
      </c>
      <c r="E13" s="31">
        <v>627954</v>
      </c>
      <c r="F13" s="31">
        <v>594565</v>
      </c>
      <c r="G13" s="31">
        <v>589725</v>
      </c>
      <c r="H13" s="31">
        <v>583715</v>
      </c>
      <c r="I13" s="31">
        <v>556841</v>
      </c>
      <c r="J13" s="48">
        <v>545208</v>
      </c>
      <c r="K13" s="48">
        <v>559051</v>
      </c>
      <c r="L13" s="49">
        <v>624924</v>
      </c>
      <c r="M13" s="49">
        <v>621023</v>
      </c>
      <c r="N13" s="49">
        <v>624063</v>
      </c>
      <c r="O13" s="49">
        <v>551435</v>
      </c>
      <c r="P13" s="49">
        <v>497583</v>
      </c>
      <c r="Q13" s="49">
        <v>473356</v>
      </c>
      <c r="R13" s="49">
        <v>468661</v>
      </c>
      <c r="S13" s="49">
        <v>456662</v>
      </c>
      <c r="T13" s="49">
        <v>465742</v>
      </c>
      <c r="U13" s="49">
        <v>448931</v>
      </c>
      <c r="V13" s="49">
        <v>433647</v>
      </c>
      <c r="W13" s="51">
        <v>421058</v>
      </c>
      <c r="X13" s="51">
        <v>439853</v>
      </c>
      <c r="Y13" s="51">
        <v>440392</v>
      </c>
      <c r="Z13" s="51">
        <v>455402</v>
      </c>
      <c r="AA13" s="51">
        <v>443590</v>
      </c>
      <c r="AB13" s="51">
        <v>450163</v>
      </c>
      <c r="AC13" s="51">
        <v>425158</v>
      </c>
      <c r="AD13" s="51">
        <v>436688</v>
      </c>
    </row>
    <row r="14" spans="1:30" ht="24" customHeight="1">
      <c r="A14" s="47" t="s">
        <v>59</v>
      </c>
      <c r="B14" s="31">
        <v>284484</v>
      </c>
      <c r="C14" s="31">
        <v>281874</v>
      </c>
      <c r="D14" s="31">
        <v>267853</v>
      </c>
      <c r="E14" s="31">
        <v>242274</v>
      </c>
      <c r="F14" s="31">
        <v>244649</v>
      </c>
      <c r="G14" s="31">
        <v>223944</v>
      </c>
      <c r="H14" s="31">
        <v>220800</v>
      </c>
      <c r="I14" s="31">
        <v>220837</v>
      </c>
      <c r="J14" s="48">
        <v>217658</v>
      </c>
      <c r="K14" s="48">
        <v>209344</v>
      </c>
      <c r="L14" s="49">
        <v>207699</v>
      </c>
      <c r="M14" s="49">
        <v>212792</v>
      </c>
      <c r="N14" s="49">
        <v>210902</v>
      </c>
      <c r="O14" s="49">
        <v>207028</v>
      </c>
      <c r="P14" s="49">
        <v>233785</v>
      </c>
      <c r="Q14" s="49">
        <v>231378</v>
      </c>
      <c r="R14" s="49">
        <v>234844</v>
      </c>
      <c r="S14" s="49">
        <v>239642</v>
      </c>
      <c r="T14" s="49">
        <v>298938</v>
      </c>
      <c r="U14" s="49">
        <v>297459</v>
      </c>
      <c r="V14" s="49">
        <v>292444</v>
      </c>
      <c r="W14" s="51">
        <v>309265</v>
      </c>
      <c r="X14" s="51">
        <v>285924</v>
      </c>
      <c r="Y14" s="51">
        <v>278052</v>
      </c>
      <c r="Z14" s="51">
        <v>356681</v>
      </c>
      <c r="AA14" s="51">
        <v>337902</v>
      </c>
      <c r="AB14" s="51">
        <v>314769</v>
      </c>
      <c r="AC14" s="51">
        <v>308350</v>
      </c>
      <c r="AD14" s="51">
        <v>299645</v>
      </c>
    </row>
    <row r="15" spans="1:30" ht="24" customHeight="1">
      <c r="A15" s="47" t="s">
        <v>61</v>
      </c>
      <c r="B15" s="31">
        <v>39984</v>
      </c>
      <c r="C15" s="31">
        <v>27615</v>
      </c>
      <c r="D15" s="31">
        <f>1469+54+25339</f>
        <v>26862</v>
      </c>
      <c r="E15" s="31">
        <f>1361+36080</f>
        <v>37441</v>
      </c>
      <c r="F15" s="31">
        <f>2427+9+73825</f>
        <v>76261</v>
      </c>
      <c r="G15" s="31">
        <v>24681</v>
      </c>
      <c r="H15" s="31">
        <v>34913</v>
      </c>
      <c r="I15" s="31">
        <v>48310</v>
      </c>
      <c r="J15" s="48">
        <v>31445</v>
      </c>
      <c r="K15" s="48">
        <v>26844</v>
      </c>
      <c r="L15" s="49">
        <v>38854</v>
      </c>
      <c r="M15" s="49">
        <v>34710</v>
      </c>
      <c r="N15" s="49">
        <v>43140</v>
      </c>
      <c r="O15" s="49">
        <v>32443</v>
      </c>
      <c r="P15" s="49">
        <v>46593</v>
      </c>
      <c r="Q15" s="49">
        <v>43972</v>
      </c>
      <c r="R15" s="49">
        <v>46681</v>
      </c>
      <c r="S15" s="49">
        <v>42750</v>
      </c>
      <c r="T15" s="49">
        <v>43541</v>
      </c>
      <c r="U15" s="49">
        <v>38827</v>
      </c>
      <c r="V15" s="49">
        <v>28569</v>
      </c>
      <c r="W15" s="51">
        <v>29687</v>
      </c>
      <c r="X15" s="51">
        <v>26561</v>
      </c>
      <c r="Y15" s="51">
        <v>26130</v>
      </c>
      <c r="Z15" s="51">
        <v>29166</v>
      </c>
      <c r="AA15" s="51">
        <v>31485</v>
      </c>
      <c r="AB15" s="51">
        <v>28465</v>
      </c>
      <c r="AC15" s="51">
        <v>35618</v>
      </c>
      <c r="AD15" s="51">
        <v>28142</v>
      </c>
    </row>
    <row r="16" spans="1:30" ht="24" customHeight="1">
      <c r="A16" s="47" t="s">
        <v>62</v>
      </c>
      <c r="B16" s="31">
        <v>41</v>
      </c>
      <c r="C16" s="31">
        <v>27</v>
      </c>
      <c r="D16" s="31">
        <v>155</v>
      </c>
      <c r="E16" s="31">
        <v>155</v>
      </c>
      <c r="F16" s="31">
        <v>1095</v>
      </c>
      <c r="G16" s="31">
        <v>1095</v>
      </c>
      <c r="H16" s="31">
        <v>1514</v>
      </c>
      <c r="I16" s="31">
        <v>1510</v>
      </c>
      <c r="J16" s="48">
        <v>1305</v>
      </c>
      <c r="K16" s="48">
        <v>1518</v>
      </c>
      <c r="L16" s="49">
        <v>1518</v>
      </c>
      <c r="M16" s="49">
        <v>1450</v>
      </c>
      <c r="N16" s="49">
        <v>2969</v>
      </c>
      <c r="O16" s="49">
        <v>2834</v>
      </c>
      <c r="P16" s="49">
        <v>3214</v>
      </c>
      <c r="Q16" s="49">
        <v>3826</v>
      </c>
      <c r="R16" s="49">
        <v>4195</v>
      </c>
      <c r="S16" s="49">
        <v>3885</v>
      </c>
      <c r="T16" s="49">
        <v>4761</v>
      </c>
      <c r="U16" s="49">
        <v>1022</v>
      </c>
      <c r="V16" s="49">
        <v>963</v>
      </c>
      <c r="W16" s="51">
        <v>893</v>
      </c>
      <c r="X16" s="51">
        <v>603</v>
      </c>
      <c r="Y16" s="51">
        <v>959</v>
      </c>
      <c r="Z16" s="51">
        <v>9839</v>
      </c>
      <c r="AA16" s="51">
        <v>9385</v>
      </c>
      <c r="AB16" s="51">
        <v>7985</v>
      </c>
      <c r="AC16" s="51">
        <v>14906</v>
      </c>
      <c r="AD16" s="51">
        <v>13617</v>
      </c>
    </row>
    <row r="17" spans="1:30" ht="24" customHeight="1">
      <c r="A17" s="47" t="s">
        <v>60</v>
      </c>
      <c r="B17" s="46">
        <v>74</v>
      </c>
      <c r="C17" s="46">
        <v>77</v>
      </c>
      <c r="D17" s="46">
        <v>229</v>
      </c>
      <c r="E17" s="46">
        <v>374</v>
      </c>
      <c r="F17" s="46">
        <v>390</v>
      </c>
      <c r="G17" s="46">
        <v>388</v>
      </c>
      <c r="H17" s="46">
        <v>407</v>
      </c>
      <c r="I17" s="46">
        <v>412</v>
      </c>
      <c r="J17" s="73">
        <v>632</v>
      </c>
      <c r="K17" s="73">
        <v>639</v>
      </c>
      <c r="L17" s="74">
        <v>775</v>
      </c>
      <c r="M17" s="74">
        <v>414</v>
      </c>
      <c r="N17" s="74">
        <v>427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</row>
    <row r="18" spans="1:30" ht="24" customHeight="1">
      <c r="A18" s="47" t="s">
        <v>63</v>
      </c>
      <c r="B18" s="31">
        <v>228601</v>
      </c>
      <c r="C18" s="31">
        <v>246057</v>
      </c>
      <c r="D18" s="31">
        <v>243132</v>
      </c>
      <c r="E18" s="31">
        <v>238944</v>
      </c>
      <c r="F18" s="31">
        <v>233894</v>
      </c>
      <c r="G18" s="31">
        <v>251231</v>
      </c>
      <c r="H18" s="31">
        <v>251146</v>
      </c>
      <c r="I18" s="31">
        <v>247291</v>
      </c>
      <c r="J18" s="48">
        <v>267846</v>
      </c>
      <c r="K18" s="48">
        <v>264531</v>
      </c>
      <c r="L18" s="49">
        <v>252484</v>
      </c>
      <c r="M18" s="49">
        <v>239852</v>
      </c>
      <c r="N18" s="49">
        <v>233860</v>
      </c>
      <c r="O18" s="49">
        <v>250803</v>
      </c>
      <c r="P18" s="49">
        <v>240987</v>
      </c>
      <c r="Q18" s="49">
        <v>235894</v>
      </c>
      <c r="R18" s="49">
        <v>225392</v>
      </c>
      <c r="S18" s="49">
        <v>241359</v>
      </c>
      <c r="T18" s="49">
        <v>234712</v>
      </c>
      <c r="U18" s="49">
        <v>229830</v>
      </c>
      <c r="V18" s="49">
        <v>232430</v>
      </c>
      <c r="W18" s="51">
        <v>225166</v>
      </c>
      <c r="X18" s="51">
        <v>213678</v>
      </c>
      <c r="Y18" s="51">
        <v>212022</v>
      </c>
      <c r="Z18" s="51">
        <v>207874</v>
      </c>
      <c r="AA18" s="51">
        <v>200244</v>
      </c>
      <c r="AB18" s="51">
        <v>210226</v>
      </c>
      <c r="AC18" s="51">
        <v>207707</v>
      </c>
      <c r="AD18" s="51">
        <v>195849</v>
      </c>
    </row>
    <row r="19" spans="1:30" ht="24" customHeight="1">
      <c r="A19" s="26" t="s">
        <v>56</v>
      </c>
      <c r="B19" s="27">
        <f>SUM(B12:B18)</f>
        <v>1206148</v>
      </c>
      <c r="C19" s="27">
        <f>SUM(C12:C18)</f>
        <v>1192870</v>
      </c>
      <c r="D19" s="27">
        <v>1198958</v>
      </c>
      <c r="E19" s="27">
        <v>1170628</v>
      </c>
      <c r="F19" s="27">
        <v>1182467</v>
      </c>
      <c r="G19" s="27">
        <v>1111157</v>
      </c>
      <c r="H19" s="27">
        <v>1133802</v>
      </c>
      <c r="I19" s="27">
        <v>1109844</v>
      </c>
      <c r="J19" s="125">
        <v>1106700</v>
      </c>
      <c r="K19" s="125">
        <v>1118658</v>
      </c>
      <c r="L19" s="126">
        <v>1175804</v>
      </c>
      <c r="M19" s="126">
        <v>1172669</v>
      </c>
      <c r="N19" s="126">
        <v>1172380</v>
      </c>
      <c r="O19" s="126">
        <v>1098370</v>
      </c>
      <c r="P19" s="126">
        <v>1201247</v>
      </c>
      <c r="Q19" s="126">
        <v>1154598</v>
      </c>
      <c r="R19" s="126">
        <v>1153804</v>
      </c>
      <c r="S19" s="126">
        <v>1151516</v>
      </c>
      <c r="T19" s="126">
        <v>1158154</v>
      </c>
      <c r="U19" s="126">
        <v>1126094</v>
      </c>
      <c r="V19" s="126">
        <v>1085405</v>
      </c>
      <c r="W19" s="128">
        <v>1084787</v>
      </c>
      <c r="X19" s="128">
        <v>1056825</v>
      </c>
      <c r="Y19" s="128">
        <v>1048573</v>
      </c>
      <c r="Z19" s="128">
        <v>1174262</v>
      </c>
      <c r="AA19" s="128">
        <v>1135482</v>
      </c>
      <c r="AB19" s="128">
        <v>1124250</v>
      </c>
      <c r="AC19" s="128">
        <v>1126281</v>
      </c>
      <c r="AD19" s="128">
        <v>1105590</v>
      </c>
    </row>
    <row r="20" spans="1:30" ht="15" customHeight="1"/>
    <row r="21" spans="1:30" ht="24" customHeight="1">
      <c r="A21" s="182" t="s">
        <v>129</v>
      </c>
      <c r="B21" s="182"/>
    </row>
    <row r="22" spans="1:30" ht="24" customHeight="1">
      <c r="A22" s="123" t="s">
        <v>9</v>
      </c>
      <c r="B22" s="123"/>
      <c r="T22" s="58" t="s">
        <v>3</v>
      </c>
    </row>
    <row r="23" spans="1:30" ht="24" customHeight="1"/>
    <row r="24" spans="1:30">
      <c r="B24" s="58" t="s">
        <v>3</v>
      </c>
      <c r="T24" s="58">
        <f>1361+36080</f>
        <v>37441</v>
      </c>
    </row>
    <row r="25" spans="1:30">
      <c r="D25" s="58">
        <f>SUM(D3:D9)-D10</f>
        <v>0</v>
      </c>
      <c r="E25" s="58">
        <f>SUM(E3:E9)-E10</f>
        <v>0</v>
      </c>
      <c r="F25" s="58">
        <f>SUM(F3:F9)-F10</f>
        <v>0</v>
      </c>
    </row>
    <row r="26" spans="1:30">
      <c r="D26" s="58">
        <f>SUM(D12:D18)-D19</f>
        <v>0</v>
      </c>
      <c r="E26" s="58">
        <f>SUM(E12:E18)-E19</f>
        <v>0</v>
      </c>
      <c r="F26" s="58">
        <f>SUM(F12:F18)-F19</f>
        <v>0</v>
      </c>
    </row>
    <row r="31" spans="1:30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9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'Landsbankinn í hnotskurn'!Print_Area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Sigrún H. Pétursdóttir</cp:lastModifiedBy>
  <cp:lastPrinted>2018-05-03T11:00:50Z</cp:lastPrinted>
  <dcterms:created xsi:type="dcterms:W3CDTF">2016-05-06T09:03:52Z</dcterms:created>
  <dcterms:modified xsi:type="dcterms:W3CDTF">2018-05-03T11:31:18Z</dcterms:modified>
</cp:coreProperties>
</file>